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东莞新配送1楼到5楼冷库制冷方案" sheetId="1" r:id="rId1"/>
    <sheet name="4楼实验室冷库制冷方案" sheetId="2" r:id="rId2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111</author>
    <author>SHYANG</author>
  </authors>
  <commentList>
    <comment ref="G9" authorId="0">
      <text>
        <r>
          <rPr>
            <b/>
            <sz val="9"/>
            <rFont val="宋体"/>
            <family val="0"/>
          </rPr>
          <t>111:</t>
        </r>
        <r>
          <rPr>
            <sz val="9"/>
            <rFont val="宋体"/>
            <family val="0"/>
          </rPr>
          <t xml:space="preserve">
图上为2.7m,最大可做到2.9m,大梁下通道0.5m</t>
        </r>
      </text>
    </comment>
    <comment ref="O6" authorId="1">
      <text>
        <r>
          <rPr>
            <b/>
            <sz val="9"/>
            <rFont val="宋体"/>
            <family val="0"/>
          </rPr>
          <t>SHYANG:</t>
        </r>
        <r>
          <rPr>
            <sz val="9"/>
            <rFont val="宋体"/>
            <family val="0"/>
          </rPr>
          <t xml:space="preserve">
采用透明塑料吊帘，分多个区域，每个区域单独温度控制。</t>
        </r>
      </text>
    </comment>
  </commentList>
</comments>
</file>

<file path=xl/sharedStrings.xml><?xml version="1.0" encoding="utf-8"?>
<sst xmlns="http://schemas.openxmlformats.org/spreadsheetml/2006/main" count="406" uniqueCount="134">
  <si>
    <t>东莞新配送一层到五层冷库冷量计算表格</t>
  </si>
  <si>
    <t>请做好设备选型和制冷方案</t>
  </si>
  <si>
    <t>楼层</t>
  </si>
  <si>
    <t>编号</t>
  </si>
  <si>
    <t>房间名称</t>
  </si>
  <si>
    <t>库内温度</t>
  </si>
  <si>
    <r>
      <t>长（</t>
    </r>
    <r>
      <rPr>
        <sz val="10"/>
        <rFont val="Arial Narrow"/>
        <family val="2"/>
      </rPr>
      <t>M)</t>
    </r>
  </si>
  <si>
    <r>
      <t>宽</t>
    </r>
    <r>
      <rPr>
        <sz val="10"/>
        <rFont val="Arial Narrow"/>
        <family val="2"/>
      </rPr>
      <t>(M)</t>
    </r>
  </si>
  <si>
    <r>
      <t>净高</t>
    </r>
    <r>
      <rPr>
        <sz val="10"/>
        <rFont val="Arial Narrow"/>
        <family val="2"/>
      </rPr>
      <t>(M)</t>
    </r>
  </si>
  <si>
    <r>
      <t>面积（</t>
    </r>
    <r>
      <rPr>
        <sz val="10"/>
        <rFont val="Arial Narrow"/>
        <family val="2"/>
      </rPr>
      <t>m2</t>
    </r>
    <r>
      <rPr>
        <sz val="10"/>
        <rFont val="宋体"/>
        <family val="0"/>
      </rPr>
      <t>）</t>
    </r>
  </si>
  <si>
    <r>
      <t>存货量</t>
    </r>
    <r>
      <rPr>
        <sz val="10"/>
        <rFont val="Arial Narrow"/>
        <family val="2"/>
      </rPr>
      <t>(t)</t>
    </r>
  </si>
  <si>
    <t>单位面积存货量</t>
  </si>
  <si>
    <r>
      <t>日进货量</t>
    </r>
    <r>
      <rPr>
        <sz val="10"/>
        <rFont val="Arial Narrow"/>
        <family val="2"/>
      </rPr>
      <t>(t)</t>
    </r>
  </si>
  <si>
    <r>
      <t>进货温度</t>
    </r>
    <r>
      <rPr>
        <sz val="10"/>
        <rFont val="Arial Narrow"/>
        <family val="2"/>
      </rPr>
      <t>(</t>
    </r>
    <r>
      <rPr>
        <sz val="10"/>
        <rFont val="宋体"/>
        <family val="0"/>
      </rPr>
      <t>℃</t>
    </r>
    <r>
      <rPr>
        <sz val="10"/>
        <rFont val="Arial Narrow"/>
        <family val="2"/>
      </rPr>
      <t>)</t>
    </r>
  </si>
  <si>
    <r>
      <t>出货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温度（℃）</t>
    </r>
  </si>
  <si>
    <r>
      <t>降温时间（</t>
    </r>
    <r>
      <rPr>
        <sz val="10"/>
        <rFont val="Arial Narrow"/>
        <family val="2"/>
      </rPr>
      <t>h</t>
    </r>
    <r>
      <rPr>
        <sz val="10"/>
        <rFont val="宋体"/>
        <family val="0"/>
      </rPr>
      <t>）</t>
    </r>
  </si>
  <si>
    <t xml:space="preserve">用户提供负荷 </t>
  </si>
  <si>
    <t>单面积负荷(W)</t>
  </si>
  <si>
    <t>工况(℃)</t>
  </si>
  <si>
    <t>压缩机型号</t>
  </si>
  <si>
    <t>配置主机制冷量（KW）</t>
  </si>
  <si>
    <t>输入功率（KW）</t>
  </si>
  <si>
    <t>能效比(COP)</t>
  </si>
  <si>
    <t>机组裕量</t>
  </si>
  <si>
    <t>冷凝方式</t>
  </si>
  <si>
    <t>型号</t>
  </si>
  <si>
    <t>冷凝功率</t>
  </si>
  <si>
    <t>冷风机型号</t>
  </si>
  <si>
    <t>冷风机换热量（KW/台）</t>
  </si>
  <si>
    <t>冷风机数量（台）</t>
  </si>
  <si>
    <t>冷风机总冷量（KW）</t>
  </si>
  <si>
    <t>冷风机设备裕量</t>
  </si>
  <si>
    <t>单台冷风机功率（KW）</t>
  </si>
  <si>
    <t>冷风机射程（m)</t>
  </si>
  <si>
    <t>冷风机总功率（KW）</t>
  </si>
  <si>
    <t>风机融霜方式</t>
  </si>
  <si>
    <t>单台冷风机电融霜功率（KW）</t>
  </si>
  <si>
    <t>冷风机融霜总功率（KW）</t>
  </si>
  <si>
    <t>冬季加热功率(KW)</t>
  </si>
  <si>
    <t>1#1F</t>
  </si>
  <si>
    <t>低温收货间</t>
  </si>
  <si>
    <t>5/38</t>
  </si>
  <si>
    <t>CSH7553-70*4</t>
  </si>
  <si>
    <t>蒸发冷</t>
  </si>
  <si>
    <t>1490KW</t>
  </si>
  <si>
    <t>自然融霜</t>
  </si>
  <si>
    <t>A类密集存储区</t>
  </si>
  <si>
    <t>1#2F</t>
  </si>
  <si>
    <t>鲜果加工大拆小区及通道</t>
  </si>
  <si>
    <t>标准份及大客户</t>
  </si>
  <si>
    <t>果蔬初加工</t>
  </si>
  <si>
    <t>冷藏间</t>
  </si>
  <si>
    <t>5~10℃</t>
  </si>
  <si>
    <t>-10/40</t>
  </si>
  <si>
    <t>6HE-35*3</t>
  </si>
  <si>
    <t>水冷</t>
  </si>
  <si>
    <t>100T*2(侧吹方形冷却塔）</t>
  </si>
  <si>
    <t>0~5℃</t>
  </si>
  <si>
    <t>电融霜</t>
  </si>
  <si>
    <t>1#3F</t>
  </si>
  <si>
    <t>5/40</t>
  </si>
  <si>
    <t>4NES-20*3</t>
  </si>
  <si>
    <t>1#4F</t>
  </si>
  <si>
    <t>催熟库</t>
  </si>
  <si>
    <t>5~25℃</t>
  </si>
  <si>
    <t>ZB48KQ</t>
  </si>
  <si>
    <t>125T*2(侧吹方形冷却塔）</t>
  </si>
  <si>
    <t>循环风箱与制冷一体（蒸发器片距≥10mm)</t>
  </si>
  <si>
    <t>ZB38KQ</t>
  </si>
  <si>
    <t>ZB29KQ</t>
  </si>
  <si>
    <t>15~25℃</t>
  </si>
  <si>
    <t>4NES-20*4（其中一个机头变频，带冷凝压力调节阀）</t>
  </si>
  <si>
    <t>22A</t>
  </si>
  <si>
    <t>ZB66KQ</t>
  </si>
  <si>
    <t>23A</t>
  </si>
  <si>
    <t>24A</t>
  </si>
  <si>
    <t>25A</t>
  </si>
  <si>
    <t>26A</t>
  </si>
  <si>
    <t>27A</t>
  </si>
  <si>
    <t>生蕉库</t>
  </si>
  <si>
    <t>4HE-25*3</t>
  </si>
  <si>
    <t>香蕉割袋加工区</t>
  </si>
  <si>
    <t>15℃</t>
  </si>
  <si>
    <t>榴莲挑选区</t>
  </si>
  <si>
    <t>心享商城冷藏库</t>
  </si>
  <si>
    <t>38A</t>
  </si>
  <si>
    <t>上线暂存区及通道</t>
  </si>
  <si>
    <t>通道</t>
  </si>
  <si>
    <t>1#5F</t>
  </si>
  <si>
    <t>预冷区</t>
  </si>
  <si>
    <t>0℃</t>
  </si>
  <si>
    <t>60T*2(侧吹方形冷却塔）</t>
  </si>
  <si>
    <t>冷藏作业区</t>
  </si>
  <si>
    <t>冰排库1</t>
  </si>
  <si>
    <t>-18℃</t>
  </si>
  <si>
    <t>-28/40</t>
  </si>
  <si>
    <t>6GE-34Y*5</t>
  </si>
  <si>
    <t>冰排库2</t>
  </si>
  <si>
    <t>冰排库3</t>
  </si>
  <si>
    <t>冷冻库1</t>
  </si>
  <si>
    <t>冷冻库2</t>
  </si>
  <si>
    <t>冷冻库3</t>
  </si>
  <si>
    <t>冷冻榴莲库1</t>
  </si>
  <si>
    <t>冷冻榴莲库2</t>
  </si>
  <si>
    <t>说明：</t>
  </si>
  <si>
    <t>1.保温厚度：冷冻库四周、顶板及地面均为150mm。0-10度库四周、顶板及地面均为100mm,15度以上的库，四周及顶板为100mm，地面50mm（地下室除外）。</t>
  </si>
  <si>
    <t>2.催熟库采用风箱内安装的翅片盘管蒸发器，片距≥10mm。</t>
  </si>
  <si>
    <t>4楼实验室冷库负荷</t>
  </si>
  <si>
    <t>序号</t>
  </si>
  <si>
    <t>冷库名</t>
  </si>
  <si>
    <t>库内温度(℃)</t>
  </si>
  <si>
    <t>长(m)</t>
  </si>
  <si>
    <t>宽（m)</t>
  </si>
  <si>
    <t>面积（m2）</t>
  </si>
  <si>
    <t>净高（m）</t>
  </si>
  <si>
    <t>降温时间（h）</t>
  </si>
  <si>
    <t>冷库负荷（KW）</t>
  </si>
  <si>
    <t>单位面积负荷（KW）</t>
  </si>
  <si>
    <t>3度梯度冷库</t>
  </si>
  <si>
    <t>-10/45</t>
  </si>
  <si>
    <t>ZXB035BE(涡旋R134a)</t>
  </si>
  <si>
    <t>自带风冷</t>
  </si>
  <si>
    <t>5度梯度冷库</t>
  </si>
  <si>
    <t>0度梯度冷库</t>
  </si>
  <si>
    <t>8度梯度冷库</t>
  </si>
  <si>
    <t>0/45</t>
  </si>
  <si>
    <t>ZXB015BE(涡旋R134a)</t>
  </si>
  <si>
    <t>10度梯度冷库</t>
  </si>
  <si>
    <t>13度梯度冷库</t>
  </si>
  <si>
    <t>5/45</t>
  </si>
  <si>
    <t>18度梯度冷库</t>
  </si>
  <si>
    <t>15度梯度冷库</t>
  </si>
  <si>
    <t>注：</t>
  </si>
  <si>
    <t>四周及顶板保温采用聚氨酯板厚度100mm，地面保温采用挤塑板，厚度100mm 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</si>
</sst>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 "/>
    <numFmt numFmtId="180" formatCode="0_ "/>
    <numFmt numFmtId="181" formatCode="0.0_);[Red]\(0.0\)"/>
    <numFmt numFmtId="182" formatCode="0.0"/>
  </numFmts>
  <fonts count="69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Arial Narrow"/>
      <family val="2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 Narrow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color rgb="FFFF0000"/>
      <name val="宋体"/>
      <family val="0"/>
    </font>
    <font>
      <b/>
      <sz val="1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 vertical="center"/>
      <protection/>
    </xf>
  </cellStyleXfs>
  <cellXfs count="19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56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178" fontId="59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79" fontId="4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80" fontId="36" fillId="0" borderId="0" xfId="0" applyNumberFormat="1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right" vertical="center" wrapText="1"/>
    </xf>
    <xf numFmtId="178" fontId="64" fillId="0" borderId="12" xfId="0" applyNumberFormat="1" applyFont="1" applyFill="1" applyBorder="1" applyAlignment="1">
      <alignment horizontal="center" vertical="center" wrapText="1"/>
    </xf>
    <xf numFmtId="178" fontId="64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179" fontId="56" fillId="0" borderId="12" xfId="0" applyNumberFormat="1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182" fontId="13" fillId="0" borderId="12" xfId="0" applyNumberFormat="1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 wrapText="1"/>
    </xf>
    <xf numFmtId="179" fontId="60" fillId="0" borderId="12" xfId="0" applyNumberFormat="1" applyFont="1" applyFill="1" applyBorder="1" applyAlignment="1">
      <alignment horizontal="center" vertical="center" wrapText="1"/>
    </xf>
    <xf numFmtId="179" fontId="13" fillId="0" borderId="12" xfId="0" applyNumberFormat="1" applyFont="1" applyFill="1" applyBorder="1" applyAlignment="1">
      <alignment horizontal="center" vertical="center" wrapText="1"/>
    </xf>
    <xf numFmtId="179" fontId="60" fillId="33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1" fontId="66" fillId="0" borderId="13" xfId="0" applyNumberFormat="1" applyFont="1" applyFill="1" applyBorder="1" applyAlignment="1">
      <alignment horizontal="center" vertical="center" wrapText="1"/>
    </xf>
    <xf numFmtId="179" fontId="13" fillId="33" borderId="1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9" fontId="60" fillId="0" borderId="0" xfId="0" applyNumberFormat="1" applyFont="1" applyAlignment="1">
      <alignment horizontal="center" vertical="center" wrapText="1"/>
    </xf>
    <xf numFmtId="49" fontId="56" fillId="0" borderId="14" xfId="63" applyNumberFormat="1" applyFont="1" applyBorder="1" applyAlignment="1">
      <alignment horizontal="center" vertical="center" wrapText="1"/>
      <protection/>
    </xf>
    <xf numFmtId="0" fontId="56" fillId="0" borderId="14" xfId="63" applyFont="1" applyBorder="1" applyAlignment="1">
      <alignment horizontal="center" vertical="center" wrapText="1"/>
      <protection/>
    </xf>
    <xf numFmtId="177" fontId="56" fillId="0" borderId="14" xfId="63" applyNumberFormat="1" applyFont="1" applyBorder="1" applyAlignment="1">
      <alignment horizontal="center" vertical="center" wrapText="1"/>
      <protection/>
    </xf>
    <xf numFmtId="0" fontId="56" fillId="0" borderId="14" xfId="63" applyFont="1" applyFill="1" applyBorder="1" applyAlignment="1">
      <alignment horizontal="center" vertical="center" wrapText="1"/>
      <protection/>
    </xf>
    <xf numFmtId="49" fontId="56" fillId="0" borderId="15" xfId="63" applyNumberFormat="1" applyFont="1" applyBorder="1" applyAlignment="1">
      <alignment horizontal="center" vertical="center" wrapText="1"/>
      <protection/>
    </xf>
    <xf numFmtId="0" fontId="56" fillId="0" borderId="15" xfId="63" applyFont="1" applyBorder="1" applyAlignment="1">
      <alignment horizontal="center" vertical="center" wrapText="1"/>
      <protection/>
    </xf>
    <xf numFmtId="177" fontId="56" fillId="0" borderId="15" xfId="63" applyNumberFormat="1" applyFont="1" applyBorder="1" applyAlignment="1">
      <alignment horizontal="center" vertical="center" wrapText="1"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49" fontId="56" fillId="0" borderId="16" xfId="63" applyNumberFormat="1" applyFont="1" applyBorder="1" applyAlignment="1">
      <alignment horizontal="center" vertical="center" wrapText="1"/>
      <protection/>
    </xf>
    <xf numFmtId="0" fontId="56" fillId="0" borderId="16" xfId="63" applyFont="1" applyBorder="1" applyAlignment="1">
      <alignment horizontal="center" vertical="center" wrapText="1"/>
      <protection/>
    </xf>
    <xf numFmtId="177" fontId="56" fillId="0" borderId="16" xfId="63" applyNumberFormat="1" applyFont="1" applyBorder="1" applyAlignment="1">
      <alignment horizontal="center" vertical="center" wrapText="1"/>
      <protection/>
    </xf>
    <xf numFmtId="0" fontId="56" fillId="0" borderId="16" xfId="63" applyFont="1" applyFill="1" applyBorder="1" applyAlignment="1">
      <alignment horizontal="center" vertical="center" wrapText="1"/>
      <protection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79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7" fontId="56" fillId="0" borderId="12" xfId="63" applyNumberFormat="1" applyFont="1" applyBorder="1" applyAlignment="1">
      <alignment horizontal="center" vertical="center" wrapText="1"/>
      <protection/>
    </xf>
    <xf numFmtId="0" fontId="56" fillId="0" borderId="12" xfId="63" applyFont="1" applyBorder="1" applyAlignment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177" fontId="67" fillId="0" borderId="12" xfId="63" applyNumberFormat="1" applyFont="1" applyBorder="1" applyAlignment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77" fontId="67" fillId="0" borderId="14" xfId="63" applyNumberFormat="1" applyFont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77" fontId="67" fillId="0" borderId="15" xfId="63" applyNumberFormat="1" applyFont="1" applyBorder="1" applyAlignment="1">
      <alignment horizontal="center" vertical="center" wrapText="1"/>
      <protection/>
    </xf>
    <xf numFmtId="0" fontId="56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77" fontId="67" fillId="0" borderId="16" xfId="63" applyNumberFormat="1" applyFont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77" fontId="66" fillId="0" borderId="12" xfId="63" applyNumberFormat="1" applyFont="1" applyBorder="1" applyAlignment="1">
      <alignment horizontal="center" vertical="center" wrapText="1"/>
      <protection/>
    </xf>
    <xf numFmtId="49" fontId="66" fillId="0" borderId="14" xfId="63" applyNumberFormat="1" applyFont="1" applyBorder="1" applyAlignment="1">
      <alignment horizontal="center" vertical="center" wrapText="1"/>
      <protection/>
    </xf>
    <xf numFmtId="179" fontId="63" fillId="0" borderId="14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177" fontId="66" fillId="0" borderId="14" xfId="63" applyNumberFormat="1" applyFont="1" applyBorder="1" applyAlignment="1">
      <alignment horizontal="center" vertical="center" wrapText="1"/>
      <protection/>
    </xf>
    <xf numFmtId="0" fontId="66" fillId="0" borderId="14" xfId="63" applyFont="1" applyBorder="1" applyAlignment="1">
      <alignment horizontal="center" vertical="center" wrapText="1"/>
      <protection/>
    </xf>
    <xf numFmtId="49" fontId="66" fillId="0" borderId="15" xfId="63" applyNumberFormat="1" applyFont="1" applyBorder="1" applyAlignment="1">
      <alignment horizontal="center" vertical="center" wrapText="1"/>
      <protection/>
    </xf>
    <xf numFmtId="179" fontId="63" fillId="0" borderId="15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177" fontId="66" fillId="0" borderId="15" xfId="63" applyNumberFormat="1" applyFont="1" applyBorder="1" applyAlignment="1">
      <alignment horizontal="center" vertical="center" wrapText="1"/>
      <protection/>
    </xf>
    <xf numFmtId="0" fontId="66" fillId="0" borderId="15" xfId="63" applyFont="1" applyBorder="1" applyAlignment="1">
      <alignment horizontal="center" vertical="center" wrapText="1"/>
      <protection/>
    </xf>
    <xf numFmtId="49" fontId="66" fillId="0" borderId="16" xfId="63" applyNumberFormat="1" applyFont="1" applyBorder="1" applyAlignment="1">
      <alignment horizontal="center" vertical="center" wrapText="1"/>
      <protection/>
    </xf>
    <xf numFmtId="179" fontId="63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7" fontId="66" fillId="0" borderId="16" xfId="63" applyNumberFormat="1" applyFont="1" applyBorder="1" applyAlignment="1">
      <alignment horizontal="center" vertical="center" wrapText="1"/>
      <protection/>
    </xf>
    <xf numFmtId="0" fontId="66" fillId="0" borderId="16" xfId="63" applyFont="1" applyBorder="1" applyAlignment="1">
      <alignment horizontal="center" vertical="center" wrapText="1"/>
      <protection/>
    </xf>
    <xf numFmtId="0" fontId="63" fillId="0" borderId="22" xfId="0" applyFont="1" applyBorder="1" applyAlignment="1">
      <alignment horizontal="center" vertical="center" wrapText="1"/>
    </xf>
    <xf numFmtId="0" fontId="67" fillId="0" borderId="14" xfId="63" applyFont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0" fontId="67" fillId="0" borderId="16" xfId="63" applyFont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67" fillId="0" borderId="15" xfId="63" applyFont="1" applyBorder="1" applyAlignment="1">
      <alignment horizontal="center" vertical="center" wrapText="1"/>
      <protection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77" fontId="36" fillId="0" borderId="0" xfId="0" applyNumberFormat="1" applyFont="1" applyAlignment="1">
      <alignment horizontal="center" vertical="center" wrapText="1"/>
    </xf>
    <xf numFmtId="176" fontId="36" fillId="0" borderId="0" xfId="0" applyNumberFormat="1" applyFont="1" applyAlignment="1">
      <alignment horizontal="center" vertical="center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80" fontId="56" fillId="0" borderId="12" xfId="0" applyNumberFormat="1" applyFont="1" applyFill="1" applyBorder="1" applyAlignment="1">
      <alignment horizontal="center" vertical="center" wrapText="1"/>
    </xf>
    <xf numFmtId="0" fontId="56" fillId="0" borderId="12" xfId="63" applyFont="1" applyFill="1" applyBorder="1" applyAlignment="1">
      <alignment horizontal="center" vertical="center" wrapText="1"/>
      <protection/>
    </xf>
    <xf numFmtId="177" fontId="56" fillId="0" borderId="12" xfId="63" applyNumberFormat="1" applyFont="1" applyFill="1" applyBorder="1" applyAlignment="1">
      <alignment horizontal="center" vertical="center" wrapText="1"/>
      <protection/>
    </xf>
    <xf numFmtId="180" fontId="56" fillId="0" borderId="12" xfId="63" applyNumberFormat="1" applyFont="1" applyFill="1" applyBorder="1" applyAlignment="1">
      <alignment horizontal="center" vertical="center" wrapText="1"/>
      <protection/>
    </xf>
    <xf numFmtId="177" fontId="57" fillId="0" borderId="12" xfId="0" applyNumberFormat="1" applyFont="1" applyFill="1" applyBorder="1" applyAlignment="1">
      <alignment horizontal="center" vertical="center" wrapText="1"/>
    </xf>
    <xf numFmtId="180" fontId="57" fillId="0" borderId="12" xfId="0" applyNumberFormat="1" applyFont="1" applyFill="1" applyBorder="1" applyAlignment="1">
      <alignment horizontal="center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180" fontId="57" fillId="0" borderId="12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77" fontId="36" fillId="0" borderId="12" xfId="0" applyNumberFormat="1" applyFont="1" applyBorder="1" applyAlignment="1">
      <alignment horizontal="center" vertical="center" wrapText="1"/>
    </xf>
    <xf numFmtId="180" fontId="36" fillId="0" borderId="12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80" fontId="63" fillId="0" borderId="12" xfId="0" applyNumberFormat="1" applyFont="1" applyBorder="1" applyAlignment="1">
      <alignment horizontal="center" vertical="center" wrapText="1"/>
    </xf>
    <xf numFmtId="177" fontId="36" fillId="0" borderId="12" xfId="0" applyNumberFormat="1" applyFont="1" applyFill="1" applyBorder="1" applyAlignment="1">
      <alignment horizontal="center" vertical="center" wrapText="1"/>
    </xf>
    <xf numFmtId="180" fontId="36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77" fontId="36" fillId="0" borderId="0" xfId="0" applyNumberFormat="1" applyFont="1" applyAlignment="1">
      <alignment vertical="center" wrapText="1"/>
    </xf>
    <xf numFmtId="180" fontId="36" fillId="0" borderId="0" xfId="0" applyNumberFormat="1" applyFont="1" applyAlignment="1">
      <alignment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7" fillId="0" borderId="26" xfId="0" applyFont="1" applyFill="1" applyBorder="1" applyAlignment="1">
      <alignment vertical="center" wrapText="1"/>
    </xf>
    <xf numFmtId="0" fontId="67" fillId="0" borderId="12" xfId="63" applyFont="1" applyBorder="1" applyAlignment="1">
      <alignment horizontal="center" vertical="center" wrapText="1"/>
      <protection/>
    </xf>
    <xf numFmtId="0" fontId="36" fillId="0" borderId="26" xfId="0" applyFont="1" applyFill="1" applyBorder="1" applyAlignment="1">
      <alignment vertical="center" wrapText="1"/>
    </xf>
    <xf numFmtId="177" fontId="67" fillId="0" borderId="0" xfId="63" applyNumberFormat="1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7"/>
  <sheetViews>
    <sheetView tabSelected="1" zoomScale="85" zoomScaleNormal="85" zoomScaleSheetLayoutView="100" workbookViewId="0" topLeftCell="A4">
      <selection activeCell="B4" sqref="B4:B60"/>
    </sheetView>
  </sheetViews>
  <sheetFormatPr defaultColWidth="8.875" defaultRowHeight="14.25"/>
  <cols>
    <col min="1" max="1" width="6.875" style="49" customWidth="1"/>
    <col min="2" max="2" width="8.75390625" style="0" customWidth="1"/>
    <col min="3" max="3" width="16.25390625" style="50" customWidth="1"/>
    <col min="4" max="4" width="8.125" style="50" customWidth="1"/>
    <col min="5" max="5" width="6.625" style="51" customWidth="1"/>
    <col min="6" max="6" width="5.875" style="51" customWidth="1"/>
    <col min="7" max="7" width="5.25390625" style="52" customWidth="1"/>
    <col min="8" max="8" width="8.00390625" style="53" customWidth="1"/>
    <col min="9" max="9" width="5.50390625" style="52" customWidth="1"/>
    <col min="10" max="10" width="13.125" style="52" customWidth="1"/>
    <col min="11" max="11" width="5.875" style="52" customWidth="1"/>
    <col min="12" max="12" width="4.375" style="52" customWidth="1"/>
    <col min="13" max="13" width="5.00390625" style="52" customWidth="1"/>
    <col min="14" max="14" width="4.75390625" style="52" customWidth="1"/>
    <col min="15" max="15" width="10.25390625" style="54" customWidth="1"/>
    <col min="16" max="16" width="6.625" style="55" customWidth="1"/>
    <col min="17" max="25" width="9.00390625" style="56" customWidth="1"/>
    <col min="26" max="26" width="10.375" style="56" customWidth="1"/>
    <col min="27" max="31" width="9.00390625" style="56" bestFit="1" customWidth="1"/>
    <col min="32" max="32" width="7.875" style="57" customWidth="1"/>
    <col min="33" max="45" width="9.00390625" style="56" bestFit="1" customWidth="1"/>
    <col min="46" max="16384" width="8.875" style="56" customWidth="1"/>
  </cols>
  <sheetData>
    <row r="1" spans="1:37" ht="39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179"/>
    </row>
    <row r="2" spans="1:37" ht="36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74.25" customHeight="1">
      <c r="A3" s="61" t="s">
        <v>2</v>
      </c>
      <c r="B3" s="61" t="s">
        <v>3</v>
      </c>
      <c r="C3" s="8" t="s">
        <v>4</v>
      </c>
      <c r="D3" s="8" t="s">
        <v>5</v>
      </c>
      <c r="E3" s="62" t="s">
        <v>6</v>
      </c>
      <c r="F3" s="62" t="s">
        <v>7</v>
      </c>
      <c r="G3" s="63" t="s">
        <v>8</v>
      </c>
      <c r="H3" s="64" t="s">
        <v>9</v>
      </c>
      <c r="I3" s="63" t="s">
        <v>10</v>
      </c>
      <c r="J3" s="63" t="s">
        <v>11</v>
      </c>
      <c r="K3" s="63" t="s">
        <v>12</v>
      </c>
      <c r="L3" s="63" t="s">
        <v>13</v>
      </c>
      <c r="M3" s="63" t="s">
        <v>14</v>
      </c>
      <c r="N3" s="63" t="s">
        <v>15</v>
      </c>
      <c r="O3" s="83" t="s">
        <v>16</v>
      </c>
      <c r="P3" s="84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9" t="s">
        <v>22</v>
      </c>
      <c r="V3" s="9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27" t="s">
        <v>31</v>
      </c>
      <c r="AE3" s="27" t="s">
        <v>32</v>
      </c>
      <c r="AF3" s="160" t="s">
        <v>33</v>
      </c>
      <c r="AG3" s="27" t="s">
        <v>34</v>
      </c>
      <c r="AH3" s="8" t="s">
        <v>35</v>
      </c>
      <c r="AI3" s="27" t="s">
        <v>36</v>
      </c>
      <c r="AJ3" s="27" t="s">
        <v>37</v>
      </c>
      <c r="AK3" s="46" t="s">
        <v>38</v>
      </c>
    </row>
    <row r="4" spans="1:37" s="47" customFormat="1" ht="19.5" customHeight="1">
      <c r="A4" s="61" t="s">
        <v>39</v>
      </c>
      <c r="B4" s="61">
        <v>1</v>
      </c>
      <c r="C4" s="61" t="s">
        <v>40</v>
      </c>
      <c r="D4" s="61">
        <v>15</v>
      </c>
      <c r="E4" s="65">
        <v>49.7</v>
      </c>
      <c r="F4" s="65">
        <v>12.76</v>
      </c>
      <c r="G4" s="66">
        <v>6</v>
      </c>
      <c r="H4" s="67">
        <v>634</v>
      </c>
      <c r="I4" s="8"/>
      <c r="J4" s="8"/>
      <c r="K4" s="8">
        <v>33</v>
      </c>
      <c r="L4" s="8">
        <v>25</v>
      </c>
      <c r="M4" s="85">
        <v>20</v>
      </c>
      <c r="N4" s="8">
        <v>10</v>
      </c>
      <c r="O4" s="86">
        <v>110.5</v>
      </c>
      <c r="P4" s="87">
        <f aca="true" t="shared" si="0" ref="P4:P35">O4*1000/H4</f>
        <v>174.29022082018926</v>
      </c>
      <c r="Q4" s="96" t="s">
        <v>41</v>
      </c>
      <c r="R4" s="97" t="s">
        <v>42</v>
      </c>
      <c r="S4" s="98">
        <f>187.6*4</f>
        <v>750.4</v>
      </c>
      <c r="T4" s="98">
        <f>44.5*4</f>
        <v>178</v>
      </c>
      <c r="U4" s="98">
        <f>S4/T4</f>
        <v>4.215730337078652</v>
      </c>
      <c r="V4" s="98">
        <f>S4/(O4+O5+O6+O7+O8)</f>
        <v>1.136969696969697</v>
      </c>
      <c r="W4" s="97" t="s">
        <v>43</v>
      </c>
      <c r="X4" s="99" t="s">
        <v>44</v>
      </c>
      <c r="Y4" s="99">
        <f>7.5*2+3</f>
        <v>18</v>
      </c>
      <c r="Z4" s="161"/>
      <c r="AA4" s="9">
        <v>28.6</v>
      </c>
      <c r="AB4" s="161"/>
      <c r="AC4" s="161">
        <v>143</v>
      </c>
      <c r="AD4" s="162">
        <v>1.2941176470588236</v>
      </c>
      <c r="AE4" s="162">
        <v>0.54</v>
      </c>
      <c r="AF4" s="163">
        <v>14</v>
      </c>
      <c r="AG4" s="117">
        <v>2.7</v>
      </c>
      <c r="AH4" s="117" t="s">
        <v>45</v>
      </c>
      <c r="AI4" s="117"/>
      <c r="AJ4" s="117"/>
      <c r="AK4" s="112"/>
    </row>
    <row r="5" spans="1:37" s="48" customFormat="1" ht="18" customHeight="1">
      <c r="A5" s="61" t="s">
        <v>39</v>
      </c>
      <c r="B5" s="61">
        <v>2</v>
      </c>
      <c r="C5" s="61" t="s">
        <v>46</v>
      </c>
      <c r="D5" s="61">
        <v>15</v>
      </c>
      <c r="E5" s="65">
        <v>44.5</v>
      </c>
      <c r="F5" s="65">
        <v>29.8</v>
      </c>
      <c r="G5" s="66">
        <v>6.4</v>
      </c>
      <c r="H5" s="67">
        <v>1327</v>
      </c>
      <c r="I5" s="61">
        <v>1470</v>
      </c>
      <c r="J5" s="8">
        <f>I5/H5</f>
        <v>1.1077618688771664</v>
      </c>
      <c r="K5" s="8">
        <f>I5*0.1</f>
        <v>147</v>
      </c>
      <c r="L5" s="61">
        <v>25</v>
      </c>
      <c r="M5" s="85">
        <v>15</v>
      </c>
      <c r="N5" s="8">
        <v>24</v>
      </c>
      <c r="O5" s="86">
        <v>155</v>
      </c>
      <c r="P5" s="87">
        <f t="shared" si="0"/>
        <v>116.80482290881687</v>
      </c>
      <c r="Q5" s="100"/>
      <c r="R5" s="101"/>
      <c r="S5" s="102"/>
      <c r="T5" s="102"/>
      <c r="U5" s="102"/>
      <c r="V5" s="102"/>
      <c r="W5" s="101"/>
      <c r="X5" s="103"/>
      <c r="Y5" s="103"/>
      <c r="Z5" s="8"/>
      <c r="AA5" s="61">
        <v>15</v>
      </c>
      <c r="AB5" s="61"/>
      <c r="AC5" s="61">
        <v>180</v>
      </c>
      <c r="AD5" s="164">
        <v>1.1612903225806452</v>
      </c>
      <c r="AE5" s="61">
        <v>0.27</v>
      </c>
      <c r="AF5" s="165">
        <v>11</v>
      </c>
      <c r="AG5" s="117">
        <v>3.24</v>
      </c>
      <c r="AH5" s="117" t="s">
        <v>45</v>
      </c>
      <c r="AI5" s="117"/>
      <c r="AJ5" s="117"/>
      <c r="AK5" s="180"/>
    </row>
    <row r="6" spans="1:37" s="47" customFormat="1" ht="16.5">
      <c r="A6" s="61" t="s">
        <v>47</v>
      </c>
      <c r="B6" s="61">
        <v>3</v>
      </c>
      <c r="C6" s="61" t="s">
        <v>48</v>
      </c>
      <c r="D6" s="61">
        <v>15</v>
      </c>
      <c r="E6" s="65">
        <v>117.2</v>
      </c>
      <c r="F6" s="65">
        <v>14.5</v>
      </c>
      <c r="G6" s="66">
        <v>2.9</v>
      </c>
      <c r="H6" s="67">
        <v>1700</v>
      </c>
      <c r="I6" s="61"/>
      <c r="J6" s="8">
        <f>I6/H6</f>
        <v>0</v>
      </c>
      <c r="K6" s="8">
        <v>43</v>
      </c>
      <c r="L6" s="61">
        <v>25</v>
      </c>
      <c r="M6" s="61">
        <v>20</v>
      </c>
      <c r="N6" s="61">
        <v>10</v>
      </c>
      <c r="O6" s="88">
        <v>144.5</v>
      </c>
      <c r="P6" s="87">
        <f t="shared" si="0"/>
        <v>85</v>
      </c>
      <c r="Q6" s="100"/>
      <c r="R6" s="101"/>
      <c r="S6" s="102"/>
      <c r="T6" s="102"/>
      <c r="U6" s="102"/>
      <c r="V6" s="102"/>
      <c r="W6" s="101"/>
      <c r="X6" s="103"/>
      <c r="Y6" s="103"/>
      <c r="Z6" s="8"/>
      <c r="AA6" s="61">
        <v>18.5</v>
      </c>
      <c r="AB6" s="61"/>
      <c r="AC6" s="61">
        <v>185</v>
      </c>
      <c r="AD6" s="164">
        <v>1.2802768166089966</v>
      </c>
      <c r="AE6" s="61">
        <v>0.405</v>
      </c>
      <c r="AF6" s="165">
        <v>14</v>
      </c>
      <c r="AG6" s="117">
        <v>4.050000000000001</v>
      </c>
      <c r="AH6" s="117" t="s">
        <v>45</v>
      </c>
      <c r="AI6" s="117"/>
      <c r="AJ6" s="117"/>
      <c r="AK6" s="112"/>
    </row>
    <row r="7" spans="1:37" s="47" customFormat="1" ht="16.5">
      <c r="A7" s="61" t="s">
        <v>47</v>
      </c>
      <c r="B7" s="61">
        <v>4</v>
      </c>
      <c r="C7" s="61" t="s">
        <v>49</v>
      </c>
      <c r="D7" s="61">
        <v>15</v>
      </c>
      <c r="E7" s="65">
        <v>40.32</v>
      </c>
      <c r="F7" s="65">
        <v>30</v>
      </c>
      <c r="G7" s="68">
        <v>6.8</v>
      </c>
      <c r="H7" s="67">
        <v>1235</v>
      </c>
      <c r="I7" s="61">
        <v>1969</v>
      </c>
      <c r="J7" s="8">
        <f>I7/H7</f>
        <v>1.594331983805668</v>
      </c>
      <c r="K7" s="8">
        <f>I7*0.08</f>
        <v>157.52</v>
      </c>
      <c r="L7" s="61">
        <v>25</v>
      </c>
      <c r="M7" s="61">
        <v>15</v>
      </c>
      <c r="N7" s="61">
        <v>10</v>
      </c>
      <c r="O7" s="88">
        <v>173</v>
      </c>
      <c r="P7" s="87">
        <f t="shared" si="0"/>
        <v>140.08097165991902</v>
      </c>
      <c r="Q7" s="100"/>
      <c r="R7" s="101"/>
      <c r="S7" s="102"/>
      <c r="T7" s="102"/>
      <c r="U7" s="102"/>
      <c r="V7" s="102"/>
      <c r="W7" s="101"/>
      <c r="X7" s="103"/>
      <c r="Y7" s="103"/>
      <c r="Z7" s="161"/>
      <c r="AA7" s="61">
        <v>25.8</v>
      </c>
      <c r="AB7" s="61"/>
      <c r="AC7" s="61">
        <v>206.4</v>
      </c>
      <c r="AD7" s="164">
        <v>1.193063583815029</v>
      </c>
      <c r="AE7" s="61">
        <v>0.54</v>
      </c>
      <c r="AF7" s="165">
        <v>15</v>
      </c>
      <c r="AG7" s="117">
        <v>4.32</v>
      </c>
      <c r="AH7" s="117" t="s">
        <v>45</v>
      </c>
      <c r="AI7" s="117"/>
      <c r="AJ7" s="117"/>
      <c r="AK7" s="112"/>
    </row>
    <row r="8" spans="1:37" s="47" customFormat="1" ht="16.5">
      <c r="A8" s="61" t="s">
        <v>47</v>
      </c>
      <c r="B8" s="61">
        <v>5</v>
      </c>
      <c r="C8" s="61" t="s">
        <v>50</v>
      </c>
      <c r="D8" s="61">
        <v>15</v>
      </c>
      <c r="E8" s="65">
        <v>19.88</v>
      </c>
      <c r="F8" s="65">
        <v>27.46</v>
      </c>
      <c r="G8" s="68">
        <v>6.8</v>
      </c>
      <c r="H8" s="67">
        <v>546</v>
      </c>
      <c r="I8" s="61">
        <v>871</v>
      </c>
      <c r="J8" s="8">
        <f>I8/H8</f>
        <v>1.5952380952380953</v>
      </c>
      <c r="K8" s="8">
        <f>I8*0.08</f>
        <v>69.68</v>
      </c>
      <c r="L8" s="61">
        <v>25</v>
      </c>
      <c r="M8" s="61">
        <v>15</v>
      </c>
      <c r="N8" s="61">
        <v>10</v>
      </c>
      <c r="O8" s="88">
        <v>77</v>
      </c>
      <c r="P8" s="87">
        <f t="shared" si="0"/>
        <v>141.02564102564102</v>
      </c>
      <c r="Q8" s="104"/>
      <c r="R8" s="105"/>
      <c r="S8" s="106"/>
      <c r="T8" s="106"/>
      <c r="U8" s="106"/>
      <c r="V8" s="106"/>
      <c r="W8" s="105"/>
      <c r="X8" s="107"/>
      <c r="Y8" s="107"/>
      <c r="Z8" s="161"/>
      <c r="AA8" s="61">
        <v>28.6</v>
      </c>
      <c r="AB8" s="61"/>
      <c r="AC8" s="61">
        <v>85.80000000000001</v>
      </c>
      <c r="AD8" s="164">
        <v>1.1142857142857143</v>
      </c>
      <c r="AE8" s="61">
        <v>0.54</v>
      </c>
      <c r="AF8" s="165">
        <v>14</v>
      </c>
      <c r="AG8" s="117">
        <v>1.62</v>
      </c>
      <c r="AH8" s="117" t="s">
        <v>45</v>
      </c>
      <c r="AI8" s="181"/>
      <c r="AJ8" s="181"/>
      <c r="AK8" s="181"/>
    </row>
    <row r="9" spans="1:37" s="47" customFormat="1" ht="27">
      <c r="A9" s="61" t="s">
        <v>47</v>
      </c>
      <c r="B9" s="61">
        <v>6</v>
      </c>
      <c r="C9" s="61" t="s">
        <v>51</v>
      </c>
      <c r="D9" s="61" t="s">
        <v>52</v>
      </c>
      <c r="E9" s="65">
        <v>21.3</v>
      </c>
      <c r="F9" s="65">
        <v>10.35</v>
      </c>
      <c r="G9" s="66">
        <v>2.9</v>
      </c>
      <c r="H9" s="67">
        <v>202</v>
      </c>
      <c r="I9" s="61">
        <v>112</v>
      </c>
      <c r="J9" s="8">
        <f aca="true" t="shared" si="1" ref="J9:J32">I9/H9</f>
        <v>0.5544554455445545</v>
      </c>
      <c r="K9" s="8">
        <f>I9*0.1</f>
        <v>11.200000000000001</v>
      </c>
      <c r="L9" s="61">
        <v>25</v>
      </c>
      <c r="M9" s="61">
        <v>5</v>
      </c>
      <c r="N9" s="61">
        <v>24</v>
      </c>
      <c r="O9" s="89">
        <v>22.8</v>
      </c>
      <c r="P9" s="87">
        <f t="shared" si="0"/>
        <v>112.87128712871286</v>
      </c>
      <c r="Q9" s="96" t="s">
        <v>53</v>
      </c>
      <c r="R9" s="108" t="s">
        <v>54</v>
      </c>
      <c r="S9" s="108">
        <f>60.2*3</f>
        <v>180.60000000000002</v>
      </c>
      <c r="T9" s="108">
        <f>20.9*3</f>
        <v>62.699999999999996</v>
      </c>
      <c r="U9" s="98">
        <f>S9/T9</f>
        <v>2.880382775119618</v>
      </c>
      <c r="V9" s="98">
        <f>S9/(O9+O10+O11+O12)</f>
        <v>1.136921624173749</v>
      </c>
      <c r="W9" s="97" t="s">
        <v>55</v>
      </c>
      <c r="X9" s="108" t="s">
        <v>56</v>
      </c>
      <c r="Y9" s="108">
        <f>3+3+11</f>
        <v>17</v>
      </c>
      <c r="Z9" s="115"/>
      <c r="AA9" s="112">
        <v>16.1</v>
      </c>
      <c r="AB9" s="112"/>
      <c r="AC9" s="112">
        <v>32.2</v>
      </c>
      <c r="AD9" s="166">
        <v>1.4122807017543861</v>
      </c>
      <c r="AE9" s="112">
        <v>0.405</v>
      </c>
      <c r="AF9" s="167">
        <v>12</v>
      </c>
      <c r="AG9" s="117">
        <v>0.81</v>
      </c>
      <c r="AH9" s="117" t="s">
        <v>45</v>
      </c>
      <c r="AI9" s="182"/>
      <c r="AJ9" s="182"/>
      <c r="AK9" s="112"/>
    </row>
    <row r="10" spans="1:37" s="47" customFormat="1" ht="16.5">
      <c r="A10" s="61" t="s">
        <v>47</v>
      </c>
      <c r="B10" s="61">
        <v>7</v>
      </c>
      <c r="C10" s="61" t="s">
        <v>51</v>
      </c>
      <c r="D10" s="61" t="s">
        <v>57</v>
      </c>
      <c r="E10" s="65">
        <v>25</v>
      </c>
      <c r="F10" s="65">
        <v>19.75</v>
      </c>
      <c r="G10" s="66">
        <v>2.9</v>
      </c>
      <c r="H10" s="67">
        <v>492</v>
      </c>
      <c r="I10" s="61">
        <v>251</v>
      </c>
      <c r="J10" s="8">
        <f t="shared" si="1"/>
        <v>0.5101626016260162</v>
      </c>
      <c r="K10" s="8">
        <f>I10*0.1</f>
        <v>25.1</v>
      </c>
      <c r="L10" s="61">
        <v>25</v>
      </c>
      <c r="M10" s="61">
        <v>0</v>
      </c>
      <c r="N10" s="61">
        <v>24</v>
      </c>
      <c r="O10" s="89">
        <v>50.65</v>
      </c>
      <c r="P10" s="87">
        <f t="shared" si="0"/>
        <v>102.94715447154472</v>
      </c>
      <c r="Q10" s="100"/>
      <c r="R10" s="109"/>
      <c r="S10" s="109"/>
      <c r="T10" s="109"/>
      <c r="U10" s="102"/>
      <c r="V10" s="102"/>
      <c r="W10" s="101"/>
      <c r="X10" s="109"/>
      <c r="Y10" s="109"/>
      <c r="Z10" s="115"/>
      <c r="AA10" s="112">
        <v>16.1</v>
      </c>
      <c r="AB10" s="112"/>
      <c r="AC10" s="112">
        <v>64.4</v>
      </c>
      <c r="AD10" s="166">
        <v>1.2714708785784798</v>
      </c>
      <c r="AE10" s="166">
        <v>0.405</v>
      </c>
      <c r="AF10" s="167">
        <v>12</v>
      </c>
      <c r="AG10" s="117">
        <v>1.62</v>
      </c>
      <c r="AH10" s="182" t="s">
        <v>58</v>
      </c>
      <c r="AI10" s="182">
        <v>7.5</v>
      </c>
      <c r="AJ10" s="182">
        <v>30</v>
      </c>
      <c r="AK10" s="112"/>
    </row>
    <row r="11" spans="1:37" ht="21.75" customHeight="1">
      <c r="A11" s="61" t="s">
        <v>47</v>
      </c>
      <c r="B11" s="61">
        <v>8</v>
      </c>
      <c r="C11" s="61" t="s">
        <v>51</v>
      </c>
      <c r="D11" s="61" t="s">
        <v>57</v>
      </c>
      <c r="E11" s="65">
        <v>26</v>
      </c>
      <c r="F11" s="65">
        <v>19.85</v>
      </c>
      <c r="G11" s="66">
        <v>2.9</v>
      </c>
      <c r="H11" s="67">
        <v>515</v>
      </c>
      <c r="I11" s="61">
        <v>261</v>
      </c>
      <c r="J11" s="8">
        <f t="shared" si="1"/>
        <v>0.5067961165048543</v>
      </c>
      <c r="K11" s="8">
        <f>I11*0.1</f>
        <v>26.1</v>
      </c>
      <c r="L11" s="61">
        <v>25</v>
      </c>
      <c r="M11" s="61">
        <v>0</v>
      </c>
      <c r="N11" s="61">
        <v>24</v>
      </c>
      <c r="O11" s="89">
        <v>52.4</v>
      </c>
      <c r="P11" s="87">
        <f t="shared" si="0"/>
        <v>101.74757281553399</v>
      </c>
      <c r="Q11" s="100"/>
      <c r="R11" s="109"/>
      <c r="S11" s="109"/>
      <c r="T11" s="109"/>
      <c r="U11" s="102"/>
      <c r="V11" s="102"/>
      <c r="W11" s="101"/>
      <c r="X11" s="109"/>
      <c r="Y11" s="109"/>
      <c r="Z11" s="115"/>
      <c r="AA11" s="112">
        <v>16.1</v>
      </c>
      <c r="AB11" s="112"/>
      <c r="AC11" s="112">
        <v>64.4</v>
      </c>
      <c r="AD11" s="166">
        <v>1.2290076335877864</v>
      </c>
      <c r="AE11" s="166">
        <v>0.54</v>
      </c>
      <c r="AF11" s="167">
        <v>12</v>
      </c>
      <c r="AG11" s="117">
        <v>2.16</v>
      </c>
      <c r="AH11" s="182" t="s">
        <v>58</v>
      </c>
      <c r="AI11" s="182">
        <v>7.5</v>
      </c>
      <c r="AJ11" s="182">
        <v>30</v>
      </c>
      <c r="AK11" s="169"/>
    </row>
    <row r="12" spans="1:37" ht="21.75" customHeight="1">
      <c r="A12" s="61" t="s">
        <v>47</v>
      </c>
      <c r="B12" s="61">
        <v>9</v>
      </c>
      <c r="C12" s="61" t="s">
        <v>51</v>
      </c>
      <c r="D12" s="61" t="s">
        <v>57</v>
      </c>
      <c r="E12" s="65">
        <v>24.8</v>
      </c>
      <c r="F12" s="65">
        <v>12.5</v>
      </c>
      <c r="G12" s="66">
        <v>2.9</v>
      </c>
      <c r="H12" s="67">
        <v>310</v>
      </c>
      <c r="I12" s="61">
        <v>157</v>
      </c>
      <c r="J12" s="8">
        <f t="shared" si="1"/>
        <v>0.5064516129032258</v>
      </c>
      <c r="K12" s="8">
        <f>I12*0.1</f>
        <v>15.700000000000001</v>
      </c>
      <c r="L12" s="61">
        <v>25</v>
      </c>
      <c r="M12" s="61">
        <v>0</v>
      </c>
      <c r="N12" s="61">
        <v>24</v>
      </c>
      <c r="O12" s="89">
        <v>33</v>
      </c>
      <c r="P12" s="87">
        <f t="shared" si="0"/>
        <v>106.45161290322581</v>
      </c>
      <c r="Q12" s="104"/>
      <c r="R12" s="110"/>
      <c r="S12" s="110"/>
      <c r="T12" s="110"/>
      <c r="U12" s="106"/>
      <c r="V12" s="106"/>
      <c r="W12" s="105"/>
      <c r="X12" s="109"/>
      <c r="Y12" s="109"/>
      <c r="Z12" s="115"/>
      <c r="AA12" s="112">
        <v>20.2</v>
      </c>
      <c r="AB12" s="112"/>
      <c r="AC12" s="112">
        <v>40.4</v>
      </c>
      <c r="AD12" s="166">
        <v>1.2242424242424241</v>
      </c>
      <c r="AE12" s="166">
        <v>0.54</v>
      </c>
      <c r="AF12" s="167">
        <v>14</v>
      </c>
      <c r="AG12" s="117">
        <v>1.08</v>
      </c>
      <c r="AH12" s="182" t="s">
        <v>58</v>
      </c>
      <c r="AI12" s="182">
        <v>9</v>
      </c>
      <c r="AJ12" s="182">
        <v>18</v>
      </c>
      <c r="AK12" s="169"/>
    </row>
    <row r="13" spans="1:37" ht="44.25" customHeight="1">
      <c r="A13" s="61" t="s">
        <v>59</v>
      </c>
      <c r="B13" s="61">
        <v>10</v>
      </c>
      <c r="C13" s="61" t="s">
        <v>48</v>
      </c>
      <c r="D13" s="61">
        <v>15</v>
      </c>
      <c r="E13" s="65">
        <v>117.2</v>
      </c>
      <c r="F13" s="65">
        <v>14.5</v>
      </c>
      <c r="G13" s="66">
        <v>2.9</v>
      </c>
      <c r="H13" s="67">
        <v>1685</v>
      </c>
      <c r="I13" s="61"/>
      <c r="J13" s="8">
        <f t="shared" si="1"/>
        <v>0</v>
      </c>
      <c r="K13" s="8">
        <v>43</v>
      </c>
      <c r="L13" s="61">
        <v>25</v>
      </c>
      <c r="M13" s="61">
        <v>15</v>
      </c>
      <c r="N13" s="61">
        <v>10</v>
      </c>
      <c r="O13" s="90">
        <v>143.2</v>
      </c>
      <c r="P13" s="87">
        <f t="shared" si="0"/>
        <v>84.98516320474778</v>
      </c>
      <c r="Q13" s="96" t="s">
        <v>60</v>
      </c>
      <c r="R13" s="111" t="s">
        <v>61</v>
      </c>
      <c r="S13" s="111">
        <f>54.4*3</f>
        <v>163.2</v>
      </c>
      <c r="T13" s="112">
        <f>12.23*3</f>
        <v>36.69</v>
      </c>
      <c r="U13" s="113">
        <f>S13/T13</f>
        <v>4.448078495502862</v>
      </c>
      <c r="V13" s="113">
        <f>S13/O13</f>
        <v>1.1396648044692737</v>
      </c>
      <c r="W13" s="114" t="s">
        <v>55</v>
      </c>
      <c r="X13" s="109"/>
      <c r="Y13" s="109"/>
      <c r="Z13" s="8"/>
      <c r="AA13" s="61">
        <v>18.5</v>
      </c>
      <c r="AB13" s="61"/>
      <c r="AC13" s="112">
        <v>185</v>
      </c>
      <c r="AD13" s="168">
        <v>1.2918994413407823</v>
      </c>
      <c r="AE13" s="61">
        <v>0.405</v>
      </c>
      <c r="AF13" s="167">
        <v>11</v>
      </c>
      <c r="AG13" s="117">
        <v>4.050000000000001</v>
      </c>
      <c r="AH13" s="117" t="s">
        <v>45</v>
      </c>
      <c r="AI13" s="117"/>
      <c r="AJ13" s="117"/>
      <c r="AK13" s="183"/>
    </row>
    <row r="14" spans="1:37" ht="21.75" customHeight="1">
      <c r="A14" s="61" t="s">
        <v>59</v>
      </c>
      <c r="B14" s="61">
        <v>11</v>
      </c>
      <c r="C14" s="61" t="s">
        <v>51</v>
      </c>
      <c r="D14" s="61" t="s">
        <v>52</v>
      </c>
      <c r="E14" s="65">
        <v>23</v>
      </c>
      <c r="F14" s="65">
        <v>10.3</v>
      </c>
      <c r="G14" s="66">
        <v>2.9</v>
      </c>
      <c r="H14" s="67">
        <v>237</v>
      </c>
      <c r="I14" s="61">
        <v>120</v>
      </c>
      <c r="J14" s="8">
        <f t="shared" si="1"/>
        <v>0.5063291139240507</v>
      </c>
      <c r="K14" s="8">
        <f>I14*0.1</f>
        <v>12</v>
      </c>
      <c r="L14" s="61">
        <v>25</v>
      </c>
      <c r="M14" s="61">
        <v>5</v>
      </c>
      <c r="N14" s="61">
        <v>24</v>
      </c>
      <c r="O14" s="89">
        <v>23</v>
      </c>
      <c r="P14" s="87">
        <f t="shared" si="0"/>
        <v>97.0464135021097</v>
      </c>
      <c r="Q14" s="96" t="s">
        <v>53</v>
      </c>
      <c r="R14" s="108" t="s">
        <v>54</v>
      </c>
      <c r="S14" s="108">
        <f>60.2*3</f>
        <v>180.60000000000002</v>
      </c>
      <c r="T14" s="108">
        <f>20.9*3</f>
        <v>62.699999999999996</v>
      </c>
      <c r="U14" s="98">
        <f>S14/T14</f>
        <v>2.880382775119618</v>
      </c>
      <c r="V14" s="98">
        <f>S14/(O14+O15+O16+O17)</f>
        <v>1.1621621621621623</v>
      </c>
      <c r="W14" s="97" t="s">
        <v>55</v>
      </c>
      <c r="X14" s="109"/>
      <c r="Y14" s="109"/>
      <c r="Z14" s="115"/>
      <c r="AA14" s="112">
        <v>16.1</v>
      </c>
      <c r="AB14" s="112"/>
      <c r="AC14" s="112">
        <v>32.2</v>
      </c>
      <c r="AD14" s="166">
        <v>1.4</v>
      </c>
      <c r="AE14" s="112">
        <v>0.405</v>
      </c>
      <c r="AF14" s="167">
        <v>12</v>
      </c>
      <c r="AG14" s="117">
        <v>0.81</v>
      </c>
      <c r="AH14" s="117" t="s">
        <v>45</v>
      </c>
      <c r="AI14" s="182"/>
      <c r="AJ14" s="182"/>
      <c r="AK14" s="169"/>
    </row>
    <row r="15" spans="1:37" ht="21.75" customHeight="1">
      <c r="A15" s="61" t="s">
        <v>59</v>
      </c>
      <c r="B15" s="61">
        <v>12</v>
      </c>
      <c r="C15" s="61" t="s">
        <v>51</v>
      </c>
      <c r="D15" s="61" t="s">
        <v>57</v>
      </c>
      <c r="E15" s="65">
        <v>23</v>
      </c>
      <c r="F15" s="65">
        <v>19.75</v>
      </c>
      <c r="G15" s="66">
        <v>2.9</v>
      </c>
      <c r="H15" s="67">
        <v>492</v>
      </c>
      <c r="I15" s="61">
        <v>231</v>
      </c>
      <c r="J15" s="8">
        <f t="shared" si="1"/>
        <v>0.4695121951219512</v>
      </c>
      <c r="K15" s="8">
        <f>I15*0.1</f>
        <v>23.1</v>
      </c>
      <c r="L15" s="61">
        <v>25</v>
      </c>
      <c r="M15" s="61">
        <v>0</v>
      </c>
      <c r="N15" s="61">
        <v>24</v>
      </c>
      <c r="O15" s="89">
        <v>47</v>
      </c>
      <c r="P15" s="87">
        <f t="shared" si="0"/>
        <v>95.52845528455285</v>
      </c>
      <c r="Q15" s="100"/>
      <c r="R15" s="109"/>
      <c r="S15" s="109"/>
      <c r="T15" s="109"/>
      <c r="U15" s="102"/>
      <c r="V15" s="102"/>
      <c r="W15" s="101"/>
      <c r="X15" s="109"/>
      <c r="Y15" s="109"/>
      <c r="Z15" s="115"/>
      <c r="AA15" s="112">
        <v>16.1</v>
      </c>
      <c r="AB15" s="112"/>
      <c r="AC15" s="112">
        <v>64.4</v>
      </c>
      <c r="AD15" s="166">
        <v>1.370212765957447</v>
      </c>
      <c r="AE15" s="112">
        <v>0.405</v>
      </c>
      <c r="AF15" s="167">
        <v>12</v>
      </c>
      <c r="AG15" s="117">
        <v>1.62</v>
      </c>
      <c r="AH15" s="182" t="s">
        <v>58</v>
      </c>
      <c r="AI15" s="182">
        <v>7.5</v>
      </c>
      <c r="AJ15" s="182">
        <v>30</v>
      </c>
      <c r="AK15" s="169"/>
    </row>
    <row r="16" spans="1:37" ht="21.75" customHeight="1">
      <c r="A16" s="61" t="s">
        <v>59</v>
      </c>
      <c r="B16" s="61">
        <v>13</v>
      </c>
      <c r="C16" s="61" t="s">
        <v>51</v>
      </c>
      <c r="D16" s="61" t="s">
        <v>57</v>
      </c>
      <c r="E16" s="65">
        <v>26</v>
      </c>
      <c r="F16" s="65">
        <v>19.75</v>
      </c>
      <c r="G16" s="66">
        <v>2.9</v>
      </c>
      <c r="H16" s="67">
        <v>515</v>
      </c>
      <c r="I16" s="61">
        <v>261</v>
      </c>
      <c r="J16" s="8">
        <f t="shared" si="1"/>
        <v>0.5067961165048543</v>
      </c>
      <c r="K16" s="8">
        <f>I16*0.1</f>
        <v>26.1</v>
      </c>
      <c r="L16" s="61">
        <v>25</v>
      </c>
      <c r="M16" s="61">
        <v>0</v>
      </c>
      <c r="N16" s="61">
        <v>24</v>
      </c>
      <c r="O16" s="89">
        <v>52.4</v>
      </c>
      <c r="P16" s="87">
        <f t="shared" si="0"/>
        <v>101.74757281553399</v>
      </c>
      <c r="Q16" s="100"/>
      <c r="R16" s="109"/>
      <c r="S16" s="109"/>
      <c r="T16" s="109"/>
      <c r="U16" s="102"/>
      <c r="V16" s="102"/>
      <c r="W16" s="101"/>
      <c r="X16" s="109"/>
      <c r="Y16" s="109"/>
      <c r="Z16" s="115"/>
      <c r="AA16" s="112">
        <v>16.1</v>
      </c>
      <c r="AB16" s="112"/>
      <c r="AC16" s="112">
        <v>64.4</v>
      </c>
      <c r="AD16" s="166">
        <v>1.2290076335877864</v>
      </c>
      <c r="AE16" s="112">
        <v>0.405</v>
      </c>
      <c r="AF16" s="167">
        <v>12</v>
      </c>
      <c r="AG16" s="117">
        <v>1.62</v>
      </c>
      <c r="AH16" s="182" t="s">
        <v>58</v>
      </c>
      <c r="AI16" s="182">
        <v>7.5</v>
      </c>
      <c r="AJ16" s="182">
        <v>30</v>
      </c>
      <c r="AK16" s="169"/>
    </row>
    <row r="17" spans="1:37" ht="21.75" customHeight="1">
      <c r="A17" s="61" t="s">
        <v>59</v>
      </c>
      <c r="B17" s="61">
        <v>14</v>
      </c>
      <c r="C17" s="61" t="s">
        <v>51</v>
      </c>
      <c r="D17" s="61" t="s">
        <v>57</v>
      </c>
      <c r="E17" s="65">
        <v>24.8</v>
      </c>
      <c r="F17" s="65">
        <v>12.5</v>
      </c>
      <c r="G17" s="66">
        <v>2.9</v>
      </c>
      <c r="H17" s="67">
        <f>E17*F17</f>
        <v>310</v>
      </c>
      <c r="I17" s="61">
        <v>157</v>
      </c>
      <c r="J17" s="8">
        <f t="shared" si="1"/>
        <v>0.5064516129032258</v>
      </c>
      <c r="K17" s="8">
        <f>I17*0.1</f>
        <v>15.700000000000001</v>
      </c>
      <c r="L17" s="61">
        <v>25</v>
      </c>
      <c r="M17" s="61">
        <v>0</v>
      </c>
      <c r="N17" s="61">
        <v>24</v>
      </c>
      <c r="O17" s="89">
        <v>33</v>
      </c>
      <c r="P17" s="87">
        <f t="shared" si="0"/>
        <v>106.45161290322581</v>
      </c>
      <c r="Q17" s="104"/>
      <c r="R17" s="110"/>
      <c r="S17" s="110"/>
      <c r="T17" s="110"/>
      <c r="U17" s="106"/>
      <c r="V17" s="106"/>
      <c r="W17" s="105"/>
      <c r="X17" s="110"/>
      <c r="Y17" s="110"/>
      <c r="Z17" s="115"/>
      <c r="AA17" s="112">
        <v>20.2</v>
      </c>
      <c r="AB17" s="112"/>
      <c r="AC17" s="112">
        <v>40.4</v>
      </c>
      <c r="AD17" s="166">
        <v>1.2242424242424241</v>
      </c>
      <c r="AE17" s="166">
        <v>0.54</v>
      </c>
      <c r="AF17" s="167">
        <v>14</v>
      </c>
      <c r="AG17" s="117">
        <v>1.08</v>
      </c>
      <c r="AH17" s="182" t="s">
        <v>58</v>
      </c>
      <c r="AI17" s="182">
        <v>9</v>
      </c>
      <c r="AJ17" s="182">
        <v>18</v>
      </c>
      <c r="AK17" s="169"/>
    </row>
    <row r="18" spans="1:37" ht="21.75" customHeight="1">
      <c r="A18" s="61" t="s">
        <v>62</v>
      </c>
      <c r="B18" s="69">
        <v>15</v>
      </c>
      <c r="C18" s="69" t="s">
        <v>63</v>
      </c>
      <c r="D18" s="69" t="s">
        <v>64</v>
      </c>
      <c r="E18" s="65">
        <v>10.1</v>
      </c>
      <c r="F18" s="65">
        <v>6.75</v>
      </c>
      <c r="G18" s="66">
        <v>2.9</v>
      </c>
      <c r="H18" s="67">
        <f aca="true" t="shared" si="2" ref="H18:H29">E18*F18</f>
        <v>68.175</v>
      </c>
      <c r="I18" s="61">
        <v>34.78</v>
      </c>
      <c r="J18" s="8">
        <f t="shared" si="1"/>
        <v>0.5101576824349102</v>
      </c>
      <c r="K18" s="61">
        <f>I18*1</f>
        <v>34.78</v>
      </c>
      <c r="L18" s="61">
        <v>25</v>
      </c>
      <c r="M18" s="61">
        <v>15</v>
      </c>
      <c r="N18" s="61">
        <v>24</v>
      </c>
      <c r="O18" s="89">
        <v>16.4</v>
      </c>
      <c r="P18" s="87">
        <f t="shared" si="0"/>
        <v>240.55738907224057</v>
      </c>
      <c r="Q18" s="112" t="s">
        <v>60</v>
      </c>
      <c r="R18" s="115" t="s">
        <v>65</v>
      </c>
      <c r="S18" s="115">
        <v>19.55</v>
      </c>
      <c r="T18" s="116">
        <v>4.19</v>
      </c>
      <c r="U18" s="117">
        <f>S18/T18</f>
        <v>4.665871121718377</v>
      </c>
      <c r="V18" s="117">
        <f aca="true" t="shared" si="3" ref="V18:V28">S18/O18</f>
        <v>1.1920731707317074</v>
      </c>
      <c r="W18" s="116" t="s">
        <v>55</v>
      </c>
      <c r="X18" s="118" t="s">
        <v>66</v>
      </c>
      <c r="Y18" s="134">
        <f>4+4+15</f>
        <v>23</v>
      </c>
      <c r="Z18" s="149" t="s">
        <v>67</v>
      </c>
      <c r="AA18" s="46">
        <v>10</v>
      </c>
      <c r="AB18" s="46"/>
      <c r="AC18" s="169">
        <v>20</v>
      </c>
      <c r="AD18" s="170">
        <v>1.2195121951219514</v>
      </c>
      <c r="AE18" s="170">
        <v>1.1</v>
      </c>
      <c r="AF18" s="171">
        <v>10</v>
      </c>
      <c r="AG18" s="170">
        <v>2.2</v>
      </c>
      <c r="AH18" s="117" t="s">
        <v>45</v>
      </c>
      <c r="AI18" s="117"/>
      <c r="AJ18" s="117"/>
      <c r="AK18" s="169">
        <v>6</v>
      </c>
    </row>
    <row r="19" spans="1:37" ht="21.75" customHeight="1">
      <c r="A19" s="61" t="s">
        <v>62</v>
      </c>
      <c r="B19" s="69">
        <v>16</v>
      </c>
      <c r="C19" s="69" t="s">
        <v>63</v>
      </c>
      <c r="D19" s="69" t="s">
        <v>64</v>
      </c>
      <c r="E19" s="65">
        <v>10.1</v>
      </c>
      <c r="F19" s="65">
        <v>6.75</v>
      </c>
      <c r="G19" s="66">
        <v>2.9</v>
      </c>
      <c r="H19" s="67">
        <f t="shared" si="2"/>
        <v>68.175</v>
      </c>
      <c r="I19" s="61">
        <v>34.78</v>
      </c>
      <c r="J19" s="8">
        <f t="shared" si="1"/>
        <v>0.5101576824349102</v>
      </c>
      <c r="K19" s="61">
        <f aca="true" t="shared" si="4" ref="K19:K43">I19*1</f>
        <v>34.78</v>
      </c>
      <c r="L19" s="61">
        <v>25</v>
      </c>
      <c r="M19" s="61">
        <v>15</v>
      </c>
      <c r="N19" s="61">
        <v>24</v>
      </c>
      <c r="O19" s="89">
        <v>16.4</v>
      </c>
      <c r="P19" s="87">
        <f t="shared" si="0"/>
        <v>240.55738907224057</v>
      </c>
      <c r="Q19" s="112" t="s">
        <v>60</v>
      </c>
      <c r="R19" s="115" t="s">
        <v>65</v>
      </c>
      <c r="S19" s="115">
        <v>19.55</v>
      </c>
      <c r="T19" s="116">
        <v>4.19</v>
      </c>
      <c r="U19" s="117">
        <f aca="true" t="shared" si="5" ref="U19:U29">S19/T19</f>
        <v>4.665871121718377</v>
      </c>
      <c r="V19" s="117">
        <f t="shared" si="3"/>
        <v>1.1920731707317074</v>
      </c>
      <c r="W19" s="116" t="s">
        <v>55</v>
      </c>
      <c r="X19" s="119"/>
      <c r="Y19" s="139"/>
      <c r="Z19" s="151"/>
      <c r="AA19" s="46">
        <v>10</v>
      </c>
      <c r="AB19" s="46"/>
      <c r="AC19" s="169">
        <v>20</v>
      </c>
      <c r="AD19" s="170">
        <v>1.2195121951219514</v>
      </c>
      <c r="AE19" s="170">
        <v>1.1</v>
      </c>
      <c r="AF19" s="171">
        <v>10</v>
      </c>
      <c r="AG19" s="170">
        <v>2.2</v>
      </c>
      <c r="AH19" s="117" t="s">
        <v>45</v>
      </c>
      <c r="AI19" s="117"/>
      <c r="AJ19" s="117"/>
      <c r="AK19" s="169">
        <v>6</v>
      </c>
    </row>
    <row r="20" spans="1:37" ht="21.75" customHeight="1">
      <c r="A20" s="61" t="s">
        <v>62</v>
      </c>
      <c r="B20" s="69">
        <v>17</v>
      </c>
      <c r="C20" s="69" t="s">
        <v>63</v>
      </c>
      <c r="D20" s="69" t="s">
        <v>64</v>
      </c>
      <c r="E20" s="65">
        <v>10.1</v>
      </c>
      <c r="F20" s="65">
        <v>6.75</v>
      </c>
      <c r="G20" s="66">
        <v>2.9</v>
      </c>
      <c r="H20" s="67">
        <f t="shared" si="2"/>
        <v>68.175</v>
      </c>
      <c r="I20" s="61">
        <v>34.78</v>
      </c>
      <c r="J20" s="8">
        <f t="shared" si="1"/>
        <v>0.5101576824349102</v>
      </c>
      <c r="K20" s="61">
        <f t="shared" si="4"/>
        <v>34.78</v>
      </c>
      <c r="L20" s="61">
        <v>25</v>
      </c>
      <c r="M20" s="61">
        <v>15</v>
      </c>
      <c r="N20" s="61">
        <v>24</v>
      </c>
      <c r="O20" s="89">
        <v>16.4</v>
      </c>
      <c r="P20" s="87">
        <f t="shared" si="0"/>
        <v>240.55738907224057</v>
      </c>
      <c r="Q20" s="112" t="s">
        <v>60</v>
      </c>
      <c r="R20" s="115" t="s">
        <v>65</v>
      </c>
      <c r="S20" s="115">
        <v>19.55</v>
      </c>
      <c r="T20" s="116">
        <v>4.19</v>
      </c>
      <c r="U20" s="117">
        <f t="shared" si="5"/>
        <v>4.665871121718377</v>
      </c>
      <c r="V20" s="117">
        <f t="shared" si="3"/>
        <v>1.1920731707317074</v>
      </c>
      <c r="W20" s="116" t="s">
        <v>55</v>
      </c>
      <c r="X20" s="119"/>
      <c r="Y20" s="139"/>
      <c r="Z20" s="151"/>
      <c r="AA20" s="46">
        <v>10</v>
      </c>
      <c r="AB20" s="46"/>
      <c r="AC20" s="169">
        <v>20</v>
      </c>
      <c r="AD20" s="170">
        <v>1.2195121951219514</v>
      </c>
      <c r="AE20" s="170">
        <v>1.1</v>
      </c>
      <c r="AF20" s="171">
        <v>10</v>
      </c>
      <c r="AG20" s="170">
        <v>2.2</v>
      </c>
      <c r="AH20" s="117" t="s">
        <v>45</v>
      </c>
      <c r="AI20" s="117"/>
      <c r="AJ20" s="117"/>
      <c r="AK20" s="169">
        <v>6</v>
      </c>
    </row>
    <row r="21" spans="1:37" ht="21.75" customHeight="1">
      <c r="A21" s="61" t="s">
        <v>62</v>
      </c>
      <c r="B21" s="69">
        <v>18</v>
      </c>
      <c r="C21" s="69" t="s">
        <v>63</v>
      </c>
      <c r="D21" s="69" t="s">
        <v>64</v>
      </c>
      <c r="E21" s="65">
        <v>10.1</v>
      </c>
      <c r="F21" s="65">
        <v>6.75</v>
      </c>
      <c r="G21" s="66">
        <v>2.9</v>
      </c>
      <c r="H21" s="67">
        <f t="shared" si="2"/>
        <v>68.175</v>
      </c>
      <c r="I21" s="61">
        <v>34.78</v>
      </c>
      <c r="J21" s="8">
        <f t="shared" si="1"/>
        <v>0.5101576824349102</v>
      </c>
      <c r="K21" s="61">
        <f t="shared" si="4"/>
        <v>34.78</v>
      </c>
      <c r="L21" s="61">
        <v>25</v>
      </c>
      <c r="M21" s="61">
        <v>15</v>
      </c>
      <c r="N21" s="61">
        <v>24</v>
      </c>
      <c r="O21" s="89">
        <v>16.4</v>
      </c>
      <c r="P21" s="87">
        <f t="shared" si="0"/>
        <v>240.55738907224057</v>
      </c>
      <c r="Q21" s="112" t="s">
        <v>60</v>
      </c>
      <c r="R21" s="115" t="s">
        <v>65</v>
      </c>
      <c r="S21" s="115">
        <v>19.55</v>
      </c>
      <c r="T21" s="116">
        <v>4.19</v>
      </c>
      <c r="U21" s="117">
        <f t="shared" si="5"/>
        <v>4.665871121718377</v>
      </c>
      <c r="V21" s="117">
        <f t="shared" si="3"/>
        <v>1.1920731707317074</v>
      </c>
      <c r="W21" s="116" t="s">
        <v>55</v>
      </c>
      <c r="X21" s="119"/>
      <c r="Y21" s="139"/>
      <c r="Z21" s="151"/>
      <c r="AA21" s="46">
        <v>10</v>
      </c>
      <c r="AB21" s="46"/>
      <c r="AC21" s="169">
        <v>20</v>
      </c>
      <c r="AD21" s="170">
        <v>1.2195121951219514</v>
      </c>
      <c r="AE21" s="170">
        <v>1.1</v>
      </c>
      <c r="AF21" s="171">
        <v>10</v>
      </c>
      <c r="AG21" s="170">
        <v>2.2</v>
      </c>
      <c r="AH21" s="117" t="s">
        <v>45</v>
      </c>
      <c r="AI21" s="117"/>
      <c r="AJ21" s="117"/>
      <c r="AK21" s="169">
        <v>6</v>
      </c>
    </row>
    <row r="22" spans="1:37" ht="21.75" customHeight="1">
      <c r="A22" s="61" t="s">
        <v>62</v>
      </c>
      <c r="B22" s="69">
        <v>49</v>
      </c>
      <c r="C22" s="69" t="s">
        <v>63</v>
      </c>
      <c r="D22" s="69" t="s">
        <v>64</v>
      </c>
      <c r="E22" s="65">
        <v>10.1</v>
      </c>
      <c r="F22" s="65">
        <v>7.3</v>
      </c>
      <c r="G22" s="66">
        <v>2.9</v>
      </c>
      <c r="H22" s="67">
        <v>74.53</v>
      </c>
      <c r="I22" s="61">
        <v>34.78</v>
      </c>
      <c r="J22" s="8">
        <f t="shared" si="1"/>
        <v>0.4666577217227962</v>
      </c>
      <c r="K22" s="61">
        <f t="shared" si="4"/>
        <v>34.78</v>
      </c>
      <c r="L22" s="61">
        <v>25</v>
      </c>
      <c r="M22" s="61">
        <v>15</v>
      </c>
      <c r="N22" s="61">
        <v>24</v>
      </c>
      <c r="O22" s="89">
        <v>16.4</v>
      </c>
      <c r="P22" s="87">
        <f t="shared" si="0"/>
        <v>220.04561921373943</v>
      </c>
      <c r="Q22" s="112" t="s">
        <v>60</v>
      </c>
      <c r="R22" s="115" t="s">
        <v>65</v>
      </c>
      <c r="S22" s="115">
        <v>19.55</v>
      </c>
      <c r="T22" s="116">
        <v>4.19</v>
      </c>
      <c r="U22" s="117">
        <f t="shared" si="5"/>
        <v>4.665871121718377</v>
      </c>
      <c r="V22" s="117">
        <f t="shared" si="3"/>
        <v>1.1920731707317074</v>
      </c>
      <c r="W22" s="116" t="s">
        <v>55</v>
      </c>
      <c r="X22" s="119"/>
      <c r="Y22" s="139"/>
      <c r="Z22" s="151"/>
      <c r="AA22" s="46">
        <v>10</v>
      </c>
      <c r="AB22" s="46"/>
      <c r="AC22" s="169">
        <v>20</v>
      </c>
      <c r="AD22" s="170">
        <v>1.2195121951219514</v>
      </c>
      <c r="AE22" s="170">
        <v>1.1</v>
      </c>
      <c r="AF22" s="171">
        <v>10</v>
      </c>
      <c r="AG22" s="170">
        <v>2.2</v>
      </c>
      <c r="AH22" s="117" t="s">
        <v>45</v>
      </c>
      <c r="AI22" s="117"/>
      <c r="AJ22" s="117"/>
      <c r="AK22" s="169">
        <v>6</v>
      </c>
    </row>
    <row r="23" spans="1:37" ht="21.75" customHeight="1">
      <c r="A23" s="61" t="s">
        <v>62</v>
      </c>
      <c r="B23" s="69">
        <v>50</v>
      </c>
      <c r="C23" s="69" t="s">
        <v>63</v>
      </c>
      <c r="D23" s="69" t="s">
        <v>64</v>
      </c>
      <c r="E23" s="65">
        <v>10.1</v>
      </c>
      <c r="F23" s="65">
        <v>5.9</v>
      </c>
      <c r="G23" s="66">
        <v>2.9</v>
      </c>
      <c r="H23" s="67">
        <v>60.81</v>
      </c>
      <c r="I23" s="61">
        <v>34.78</v>
      </c>
      <c r="J23" s="8">
        <f t="shared" si="1"/>
        <v>0.571945403716494</v>
      </c>
      <c r="K23" s="61">
        <f t="shared" si="4"/>
        <v>34.78</v>
      </c>
      <c r="L23" s="61">
        <v>25</v>
      </c>
      <c r="M23" s="61">
        <v>15</v>
      </c>
      <c r="N23" s="61">
        <v>24</v>
      </c>
      <c r="O23" s="89">
        <v>16.4</v>
      </c>
      <c r="P23" s="87">
        <f t="shared" si="0"/>
        <v>269.69248478868604</v>
      </c>
      <c r="Q23" s="112" t="s">
        <v>60</v>
      </c>
      <c r="R23" s="115" t="s">
        <v>65</v>
      </c>
      <c r="S23" s="115">
        <v>19.55</v>
      </c>
      <c r="T23" s="116">
        <v>4.19</v>
      </c>
      <c r="U23" s="117">
        <f t="shared" si="5"/>
        <v>4.665871121718377</v>
      </c>
      <c r="V23" s="117">
        <f t="shared" si="3"/>
        <v>1.1920731707317074</v>
      </c>
      <c r="W23" s="116" t="s">
        <v>55</v>
      </c>
      <c r="X23" s="119"/>
      <c r="Y23" s="139"/>
      <c r="Z23" s="151"/>
      <c r="AA23" s="46">
        <v>10</v>
      </c>
      <c r="AB23" s="46"/>
      <c r="AC23" s="169">
        <v>20</v>
      </c>
      <c r="AD23" s="170">
        <v>1.2195121951219514</v>
      </c>
      <c r="AE23" s="170">
        <v>1.1</v>
      </c>
      <c r="AF23" s="171">
        <v>10</v>
      </c>
      <c r="AG23" s="170">
        <v>2.2</v>
      </c>
      <c r="AH23" s="117" t="s">
        <v>45</v>
      </c>
      <c r="AI23" s="117"/>
      <c r="AJ23" s="117"/>
      <c r="AK23" s="169">
        <v>6</v>
      </c>
    </row>
    <row r="24" spans="1:37" ht="21.75" customHeight="1">
      <c r="A24" s="61" t="s">
        <v>62</v>
      </c>
      <c r="B24" s="69">
        <v>19</v>
      </c>
      <c r="C24" s="69" t="s">
        <v>63</v>
      </c>
      <c r="D24" s="69" t="s">
        <v>64</v>
      </c>
      <c r="E24" s="65">
        <v>10.1</v>
      </c>
      <c r="F24" s="65">
        <v>6.85</v>
      </c>
      <c r="G24" s="66">
        <v>2.9</v>
      </c>
      <c r="H24" s="67">
        <f t="shared" si="2"/>
        <v>69.18499999999999</v>
      </c>
      <c r="I24" s="61">
        <v>34.78</v>
      </c>
      <c r="J24" s="8">
        <f t="shared" si="1"/>
        <v>0.5027101250271013</v>
      </c>
      <c r="K24" s="61">
        <f t="shared" si="4"/>
        <v>34.78</v>
      </c>
      <c r="L24" s="61">
        <v>25</v>
      </c>
      <c r="M24" s="61">
        <v>15</v>
      </c>
      <c r="N24" s="61">
        <v>24</v>
      </c>
      <c r="O24" s="89">
        <v>16.4</v>
      </c>
      <c r="P24" s="87">
        <f t="shared" si="0"/>
        <v>237.04560237045607</v>
      </c>
      <c r="Q24" s="112" t="s">
        <v>60</v>
      </c>
      <c r="R24" s="115" t="s">
        <v>65</v>
      </c>
      <c r="S24" s="115">
        <v>19.55</v>
      </c>
      <c r="T24" s="116">
        <v>4.19</v>
      </c>
      <c r="U24" s="117">
        <f t="shared" si="5"/>
        <v>4.665871121718377</v>
      </c>
      <c r="V24" s="117">
        <f t="shared" si="3"/>
        <v>1.1920731707317074</v>
      </c>
      <c r="W24" s="116" t="s">
        <v>55</v>
      </c>
      <c r="X24" s="119"/>
      <c r="Y24" s="139"/>
      <c r="Z24" s="151"/>
      <c r="AA24" s="46">
        <v>10</v>
      </c>
      <c r="AB24" s="46"/>
      <c r="AC24" s="169">
        <v>20</v>
      </c>
      <c r="AD24" s="170">
        <v>1.2195121951219514</v>
      </c>
      <c r="AE24" s="170">
        <v>1.1</v>
      </c>
      <c r="AF24" s="171">
        <v>10</v>
      </c>
      <c r="AG24" s="170">
        <v>2.2</v>
      </c>
      <c r="AH24" s="117" t="s">
        <v>45</v>
      </c>
      <c r="AI24" s="117"/>
      <c r="AJ24" s="117"/>
      <c r="AK24" s="169">
        <v>6</v>
      </c>
    </row>
    <row r="25" spans="1:37" ht="21.75" customHeight="1">
      <c r="A25" s="61" t="s">
        <v>62</v>
      </c>
      <c r="B25" s="69">
        <v>20</v>
      </c>
      <c r="C25" s="69" t="s">
        <v>63</v>
      </c>
      <c r="D25" s="69" t="s">
        <v>64</v>
      </c>
      <c r="E25" s="65">
        <v>8.25</v>
      </c>
      <c r="F25" s="65">
        <v>6.85</v>
      </c>
      <c r="G25" s="66">
        <v>2.9</v>
      </c>
      <c r="H25" s="67">
        <v>56.83</v>
      </c>
      <c r="I25" s="61">
        <v>22</v>
      </c>
      <c r="J25" s="8">
        <f t="shared" si="1"/>
        <v>0.38711947914833716</v>
      </c>
      <c r="K25" s="61">
        <f t="shared" si="4"/>
        <v>22</v>
      </c>
      <c r="L25" s="61">
        <v>25</v>
      </c>
      <c r="M25" s="61">
        <v>15</v>
      </c>
      <c r="N25" s="61">
        <v>24</v>
      </c>
      <c r="O25" s="89">
        <v>16</v>
      </c>
      <c r="P25" s="87">
        <f t="shared" si="0"/>
        <v>281.54143938060884</v>
      </c>
      <c r="Q25" s="112" t="s">
        <v>60</v>
      </c>
      <c r="R25" s="115" t="s">
        <v>65</v>
      </c>
      <c r="S25" s="115">
        <v>19.55</v>
      </c>
      <c r="T25" s="116">
        <v>4.19</v>
      </c>
      <c r="U25" s="117">
        <f t="shared" si="5"/>
        <v>4.665871121718377</v>
      </c>
      <c r="V25" s="117">
        <f t="shared" si="3"/>
        <v>1.221875</v>
      </c>
      <c r="W25" s="116" t="s">
        <v>55</v>
      </c>
      <c r="X25" s="119"/>
      <c r="Y25" s="139"/>
      <c r="Z25" s="151"/>
      <c r="AA25" s="46">
        <v>10</v>
      </c>
      <c r="AB25" s="46"/>
      <c r="AC25" s="169">
        <v>20</v>
      </c>
      <c r="AD25" s="170">
        <v>1.25</v>
      </c>
      <c r="AE25" s="170">
        <v>1.1</v>
      </c>
      <c r="AF25" s="171">
        <v>10</v>
      </c>
      <c r="AG25" s="170">
        <v>2.2</v>
      </c>
      <c r="AH25" s="117" t="s">
        <v>45</v>
      </c>
      <c r="AI25" s="117"/>
      <c r="AJ25" s="117"/>
      <c r="AK25" s="169">
        <v>6</v>
      </c>
    </row>
    <row r="26" spans="1:37" ht="21.75" customHeight="1">
      <c r="A26" s="61" t="s">
        <v>62</v>
      </c>
      <c r="B26" s="69">
        <v>21</v>
      </c>
      <c r="C26" s="69" t="s">
        <v>63</v>
      </c>
      <c r="D26" s="69" t="s">
        <v>64</v>
      </c>
      <c r="E26" s="65">
        <v>7.3</v>
      </c>
      <c r="F26" s="65">
        <v>4.575</v>
      </c>
      <c r="G26" s="66">
        <v>2.9</v>
      </c>
      <c r="H26" s="67">
        <f t="shared" si="2"/>
        <v>33.3975</v>
      </c>
      <c r="I26" s="61">
        <v>13.8</v>
      </c>
      <c r="J26" s="8">
        <f t="shared" si="1"/>
        <v>0.41320458118122616</v>
      </c>
      <c r="K26" s="61">
        <f t="shared" si="4"/>
        <v>13.8</v>
      </c>
      <c r="L26" s="61">
        <v>25</v>
      </c>
      <c r="M26" s="61">
        <v>15</v>
      </c>
      <c r="N26" s="61">
        <v>24</v>
      </c>
      <c r="O26" s="89">
        <v>10.5</v>
      </c>
      <c r="P26" s="87">
        <f t="shared" si="0"/>
        <v>314.3947900291938</v>
      </c>
      <c r="Q26" s="112" t="s">
        <v>60</v>
      </c>
      <c r="R26" s="115" t="s">
        <v>68</v>
      </c>
      <c r="S26" s="115">
        <v>14.75</v>
      </c>
      <c r="T26" s="116">
        <v>3.34</v>
      </c>
      <c r="U26" s="117">
        <f t="shared" si="5"/>
        <v>4.416167664670659</v>
      </c>
      <c r="V26" s="117">
        <f t="shared" si="3"/>
        <v>1.4047619047619047</v>
      </c>
      <c r="W26" s="116" t="s">
        <v>55</v>
      </c>
      <c r="X26" s="119"/>
      <c r="Y26" s="139"/>
      <c r="Z26" s="151"/>
      <c r="AA26" s="46">
        <v>13</v>
      </c>
      <c r="AB26" s="46"/>
      <c r="AC26" s="169">
        <v>13</v>
      </c>
      <c r="AD26" s="170">
        <v>1.2380952380952381</v>
      </c>
      <c r="AE26" s="170">
        <v>1.1</v>
      </c>
      <c r="AF26" s="171">
        <v>10</v>
      </c>
      <c r="AG26" s="170">
        <v>1.1</v>
      </c>
      <c r="AH26" s="117" t="s">
        <v>45</v>
      </c>
      <c r="AI26" s="117"/>
      <c r="AJ26" s="117"/>
      <c r="AK26" s="169">
        <v>3</v>
      </c>
    </row>
    <row r="27" spans="1:37" ht="21.75" customHeight="1">
      <c r="A27" s="61" t="s">
        <v>62</v>
      </c>
      <c r="B27" s="69">
        <v>26</v>
      </c>
      <c r="C27" s="69" t="s">
        <v>63</v>
      </c>
      <c r="D27" s="69" t="s">
        <v>64</v>
      </c>
      <c r="E27" s="65">
        <v>10.45</v>
      </c>
      <c r="F27" s="65">
        <v>3.7</v>
      </c>
      <c r="G27" s="66">
        <v>2.9</v>
      </c>
      <c r="H27" s="70">
        <v>38.63</v>
      </c>
      <c r="I27" s="61">
        <v>17.39</v>
      </c>
      <c r="J27" s="8">
        <f t="shared" si="1"/>
        <v>0.4501682630080248</v>
      </c>
      <c r="K27" s="61">
        <f t="shared" si="4"/>
        <v>17.39</v>
      </c>
      <c r="L27" s="61">
        <v>25</v>
      </c>
      <c r="M27" s="61">
        <v>15</v>
      </c>
      <c r="N27" s="61">
        <v>24</v>
      </c>
      <c r="O27" s="89">
        <v>8.8</v>
      </c>
      <c r="P27" s="87">
        <f t="shared" si="0"/>
        <v>227.80222624902925</v>
      </c>
      <c r="Q27" s="112" t="s">
        <v>60</v>
      </c>
      <c r="R27" s="115" t="s">
        <v>69</v>
      </c>
      <c r="S27" s="115">
        <v>11.9</v>
      </c>
      <c r="T27" s="116">
        <v>2.64</v>
      </c>
      <c r="U27" s="117">
        <f t="shared" si="5"/>
        <v>4.507575757575758</v>
      </c>
      <c r="V27" s="117">
        <f t="shared" si="3"/>
        <v>1.3522727272727273</v>
      </c>
      <c r="W27" s="116" t="s">
        <v>55</v>
      </c>
      <c r="X27" s="119"/>
      <c r="Y27" s="139"/>
      <c r="Z27" s="151"/>
      <c r="AA27" s="46">
        <v>13</v>
      </c>
      <c r="AB27" s="46"/>
      <c r="AC27" s="169">
        <v>13</v>
      </c>
      <c r="AD27" s="170">
        <v>1.477272727272727</v>
      </c>
      <c r="AE27" s="170">
        <v>1.1</v>
      </c>
      <c r="AF27" s="171">
        <v>10</v>
      </c>
      <c r="AG27" s="170">
        <v>1.1</v>
      </c>
      <c r="AH27" s="117" t="s">
        <v>45</v>
      </c>
      <c r="AI27" s="117"/>
      <c r="AJ27" s="117"/>
      <c r="AK27" s="169">
        <v>3</v>
      </c>
    </row>
    <row r="28" spans="1:37" ht="21.75" customHeight="1">
      <c r="A28" s="61" t="s">
        <v>62</v>
      </c>
      <c r="B28" s="69">
        <v>27</v>
      </c>
      <c r="C28" s="69" t="s">
        <v>63</v>
      </c>
      <c r="D28" s="69" t="s">
        <v>64</v>
      </c>
      <c r="E28" s="65">
        <v>10.45</v>
      </c>
      <c r="F28" s="65">
        <v>3.7</v>
      </c>
      <c r="G28" s="66">
        <v>2.9</v>
      </c>
      <c r="H28" s="70">
        <v>38.66</v>
      </c>
      <c r="I28" s="61">
        <v>17.39</v>
      </c>
      <c r="J28" s="8">
        <f t="shared" si="1"/>
        <v>0.44981893429901715</v>
      </c>
      <c r="K28" s="61">
        <f t="shared" si="4"/>
        <v>17.39</v>
      </c>
      <c r="L28" s="61">
        <v>25</v>
      </c>
      <c r="M28" s="61">
        <v>15</v>
      </c>
      <c r="N28" s="61">
        <v>24</v>
      </c>
      <c r="O28" s="89">
        <v>8.8</v>
      </c>
      <c r="P28" s="87">
        <f t="shared" si="0"/>
        <v>227.62545266425246</v>
      </c>
      <c r="Q28" s="112" t="s">
        <v>60</v>
      </c>
      <c r="R28" s="115" t="s">
        <v>69</v>
      </c>
      <c r="S28" s="115">
        <v>11.9</v>
      </c>
      <c r="T28" s="116">
        <v>2.64</v>
      </c>
      <c r="U28" s="117">
        <f t="shared" si="5"/>
        <v>4.507575757575758</v>
      </c>
      <c r="V28" s="117">
        <f t="shared" si="3"/>
        <v>1.3522727272727273</v>
      </c>
      <c r="W28" s="116" t="s">
        <v>55</v>
      </c>
      <c r="X28" s="119"/>
      <c r="Y28" s="139"/>
      <c r="Z28" s="151"/>
      <c r="AA28" s="46">
        <v>13</v>
      </c>
      <c r="AB28" s="46"/>
      <c r="AC28" s="169">
        <v>13</v>
      </c>
      <c r="AD28" s="170">
        <v>1.477272727272727</v>
      </c>
      <c r="AE28" s="170">
        <v>1.1</v>
      </c>
      <c r="AF28" s="171">
        <v>10</v>
      </c>
      <c r="AG28" s="170">
        <v>1.1</v>
      </c>
      <c r="AH28" s="117" t="s">
        <v>45</v>
      </c>
      <c r="AI28" s="117"/>
      <c r="AJ28" s="117"/>
      <c r="AK28" s="169">
        <v>3</v>
      </c>
    </row>
    <row r="29" spans="1:37" ht="21.75" customHeight="1">
      <c r="A29" s="61" t="s">
        <v>62</v>
      </c>
      <c r="B29" s="69">
        <v>22</v>
      </c>
      <c r="C29" s="69" t="s">
        <v>63</v>
      </c>
      <c r="D29" s="69" t="s">
        <v>70</v>
      </c>
      <c r="E29" s="65">
        <v>10.45</v>
      </c>
      <c r="F29" s="65">
        <v>9.9</v>
      </c>
      <c r="G29" s="66">
        <v>2.9</v>
      </c>
      <c r="H29" s="67">
        <f t="shared" si="2"/>
        <v>103.455</v>
      </c>
      <c r="I29" s="61">
        <v>52.16</v>
      </c>
      <c r="J29" s="8">
        <f t="shared" si="1"/>
        <v>0.5041805615968296</v>
      </c>
      <c r="K29" s="61">
        <f t="shared" si="4"/>
        <v>52.16</v>
      </c>
      <c r="L29" s="61">
        <v>25</v>
      </c>
      <c r="M29" s="61">
        <v>15</v>
      </c>
      <c r="N29" s="61">
        <v>24</v>
      </c>
      <c r="O29" s="89">
        <v>23.5</v>
      </c>
      <c r="P29" s="87">
        <f t="shared" si="0"/>
        <v>227.15190179305011</v>
      </c>
      <c r="Q29" s="108" t="s">
        <v>60</v>
      </c>
      <c r="R29" s="120" t="s">
        <v>71</v>
      </c>
      <c r="S29" s="120">
        <f>54.4*4</f>
        <v>217.6</v>
      </c>
      <c r="T29" s="121">
        <f>12.23*4</f>
        <v>48.92</v>
      </c>
      <c r="U29" s="122">
        <f t="shared" si="5"/>
        <v>4.448078495502862</v>
      </c>
      <c r="V29" s="122">
        <f>S29/(O29+O30+O31+O32+O33+O34+O35+O36+O37)</f>
        <v>1.102889001520527</v>
      </c>
      <c r="W29" s="121" t="s">
        <v>55</v>
      </c>
      <c r="X29" s="119"/>
      <c r="Y29" s="139"/>
      <c r="Z29" s="151"/>
      <c r="AA29" s="46">
        <v>10</v>
      </c>
      <c r="AB29" s="46"/>
      <c r="AC29" s="169">
        <v>30</v>
      </c>
      <c r="AD29" s="170">
        <v>1.2765957446808511</v>
      </c>
      <c r="AE29" s="170">
        <v>1.1</v>
      </c>
      <c r="AF29" s="171">
        <v>10</v>
      </c>
      <c r="AG29" s="170">
        <v>3.3</v>
      </c>
      <c r="AH29" s="117" t="s">
        <v>45</v>
      </c>
      <c r="AI29" s="117"/>
      <c r="AJ29" s="117"/>
      <c r="AK29" s="169">
        <v>9</v>
      </c>
    </row>
    <row r="30" spans="1:37" ht="21.75" customHeight="1">
      <c r="A30" s="61" t="s">
        <v>62</v>
      </c>
      <c r="B30" s="69">
        <v>23</v>
      </c>
      <c r="C30" s="69" t="s">
        <v>63</v>
      </c>
      <c r="D30" s="69" t="s">
        <v>70</v>
      </c>
      <c r="E30" s="65">
        <v>10.45</v>
      </c>
      <c r="F30" s="65">
        <v>9.95</v>
      </c>
      <c r="G30" s="66">
        <v>2.9</v>
      </c>
      <c r="H30" s="70">
        <v>103.98</v>
      </c>
      <c r="I30" s="61">
        <v>52.16</v>
      </c>
      <c r="J30" s="8">
        <f t="shared" si="1"/>
        <v>0.5016349297941911</v>
      </c>
      <c r="K30" s="61">
        <f t="shared" si="4"/>
        <v>52.16</v>
      </c>
      <c r="L30" s="61">
        <v>25</v>
      </c>
      <c r="M30" s="61">
        <v>15</v>
      </c>
      <c r="N30" s="61">
        <v>24</v>
      </c>
      <c r="O30" s="89">
        <v>23.5</v>
      </c>
      <c r="P30" s="87">
        <f t="shared" si="0"/>
        <v>226.0050009617234</v>
      </c>
      <c r="Q30" s="109"/>
      <c r="R30" s="123"/>
      <c r="S30" s="123"/>
      <c r="T30" s="124"/>
      <c r="U30" s="125"/>
      <c r="V30" s="125"/>
      <c r="W30" s="124"/>
      <c r="X30" s="119"/>
      <c r="Y30" s="139"/>
      <c r="Z30" s="151"/>
      <c r="AA30" s="46">
        <v>10</v>
      </c>
      <c r="AB30" s="46"/>
      <c r="AC30" s="169">
        <v>30</v>
      </c>
      <c r="AD30" s="170">
        <v>1.2765957446808511</v>
      </c>
      <c r="AE30" s="170">
        <v>1.1</v>
      </c>
      <c r="AF30" s="171">
        <v>10</v>
      </c>
      <c r="AG30" s="170">
        <v>3.3</v>
      </c>
      <c r="AH30" s="117" t="s">
        <v>45</v>
      </c>
      <c r="AI30" s="117"/>
      <c r="AJ30" s="117"/>
      <c r="AK30" s="169">
        <v>9</v>
      </c>
    </row>
    <row r="31" spans="1:37" ht="21.75" customHeight="1">
      <c r="A31" s="61" t="s">
        <v>62</v>
      </c>
      <c r="B31" s="69">
        <v>24</v>
      </c>
      <c r="C31" s="69" t="s">
        <v>63</v>
      </c>
      <c r="D31" s="69" t="s">
        <v>70</v>
      </c>
      <c r="E31" s="65">
        <v>10.45</v>
      </c>
      <c r="F31" s="65">
        <v>9.9</v>
      </c>
      <c r="G31" s="66">
        <v>2.9</v>
      </c>
      <c r="H31" s="70">
        <v>103.45</v>
      </c>
      <c r="I31" s="61">
        <v>52.16</v>
      </c>
      <c r="J31" s="8">
        <f t="shared" si="1"/>
        <v>0.5042049299178346</v>
      </c>
      <c r="K31" s="61">
        <f t="shared" si="4"/>
        <v>52.16</v>
      </c>
      <c r="L31" s="61">
        <v>25</v>
      </c>
      <c r="M31" s="61">
        <v>15</v>
      </c>
      <c r="N31" s="61">
        <v>24</v>
      </c>
      <c r="O31" s="89">
        <v>23.5</v>
      </c>
      <c r="P31" s="87">
        <f t="shared" si="0"/>
        <v>227.16288061865635</v>
      </c>
      <c r="Q31" s="109"/>
      <c r="R31" s="123"/>
      <c r="S31" s="123"/>
      <c r="T31" s="124"/>
      <c r="U31" s="125"/>
      <c r="V31" s="125"/>
      <c r="W31" s="124"/>
      <c r="X31" s="119"/>
      <c r="Y31" s="139"/>
      <c r="Z31" s="151"/>
      <c r="AA31" s="46">
        <v>10</v>
      </c>
      <c r="AB31" s="46"/>
      <c r="AC31" s="169">
        <v>30</v>
      </c>
      <c r="AD31" s="170">
        <v>1.2765957446808511</v>
      </c>
      <c r="AE31" s="170">
        <v>1.1</v>
      </c>
      <c r="AF31" s="171">
        <v>10</v>
      </c>
      <c r="AG31" s="170">
        <v>3.3</v>
      </c>
      <c r="AH31" s="117" t="s">
        <v>45</v>
      </c>
      <c r="AI31" s="117"/>
      <c r="AJ31" s="117"/>
      <c r="AK31" s="169">
        <v>9</v>
      </c>
    </row>
    <row r="32" spans="1:37" ht="21.75" customHeight="1">
      <c r="A32" s="61" t="s">
        <v>62</v>
      </c>
      <c r="B32" s="69">
        <v>25</v>
      </c>
      <c r="C32" s="69" t="s">
        <v>63</v>
      </c>
      <c r="D32" s="69" t="s">
        <v>70</v>
      </c>
      <c r="E32" s="65">
        <v>10.45</v>
      </c>
      <c r="F32" s="65">
        <v>9.95</v>
      </c>
      <c r="G32" s="66">
        <v>2.9</v>
      </c>
      <c r="H32" s="70">
        <v>103.98</v>
      </c>
      <c r="I32" s="61">
        <v>52.16</v>
      </c>
      <c r="J32" s="8">
        <f t="shared" si="1"/>
        <v>0.5016349297941911</v>
      </c>
      <c r="K32" s="61">
        <f t="shared" si="4"/>
        <v>52.16</v>
      </c>
      <c r="L32" s="61">
        <v>25</v>
      </c>
      <c r="M32" s="61">
        <v>15</v>
      </c>
      <c r="N32" s="61">
        <v>24</v>
      </c>
      <c r="O32" s="89">
        <v>23.5</v>
      </c>
      <c r="P32" s="87">
        <f t="shared" si="0"/>
        <v>226.0050009617234</v>
      </c>
      <c r="Q32" s="109"/>
      <c r="R32" s="123"/>
      <c r="S32" s="123"/>
      <c r="T32" s="124"/>
      <c r="U32" s="125"/>
      <c r="V32" s="125"/>
      <c r="W32" s="124"/>
      <c r="X32" s="119"/>
      <c r="Y32" s="139"/>
      <c r="Z32" s="151"/>
      <c r="AA32" s="46">
        <v>10</v>
      </c>
      <c r="AB32" s="46"/>
      <c r="AC32" s="169">
        <v>30</v>
      </c>
      <c r="AD32" s="170">
        <v>1.2765957446808511</v>
      </c>
      <c r="AE32" s="170">
        <v>1.1</v>
      </c>
      <c r="AF32" s="171">
        <v>10</v>
      </c>
      <c r="AG32" s="170">
        <v>3.3</v>
      </c>
      <c r="AH32" s="117" t="s">
        <v>45</v>
      </c>
      <c r="AI32" s="117"/>
      <c r="AJ32" s="117"/>
      <c r="AK32" s="169">
        <v>9</v>
      </c>
    </row>
    <row r="33" spans="1:37" ht="21.75" customHeight="1">
      <c r="A33" s="61" t="s">
        <v>62</v>
      </c>
      <c r="B33" s="69">
        <v>28</v>
      </c>
      <c r="C33" s="69" t="s">
        <v>63</v>
      </c>
      <c r="D33" s="69" t="s">
        <v>70</v>
      </c>
      <c r="E33" s="65">
        <v>10.6</v>
      </c>
      <c r="F33" s="65">
        <v>6.75</v>
      </c>
      <c r="G33" s="66">
        <v>2.9</v>
      </c>
      <c r="H33" s="70">
        <v>71.55</v>
      </c>
      <c r="I33" s="61">
        <v>34.78</v>
      </c>
      <c r="J33" s="8">
        <f aca="true" t="shared" si="6" ref="J33:J44">I33/H33</f>
        <v>0.48609364081062195</v>
      </c>
      <c r="K33" s="61">
        <f t="shared" si="4"/>
        <v>34.78</v>
      </c>
      <c r="L33" s="61">
        <v>25</v>
      </c>
      <c r="M33" s="61">
        <v>15</v>
      </c>
      <c r="N33" s="61">
        <v>24</v>
      </c>
      <c r="O33" s="89">
        <v>16.4</v>
      </c>
      <c r="P33" s="87">
        <f t="shared" si="0"/>
        <v>229.2103424178896</v>
      </c>
      <c r="Q33" s="109"/>
      <c r="R33" s="123"/>
      <c r="S33" s="123"/>
      <c r="T33" s="124"/>
      <c r="U33" s="125"/>
      <c r="V33" s="125"/>
      <c r="W33" s="124"/>
      <c r="X33" s="119"/>
      <c r="Y33" s="139"/>
      <c r="Z33" s="151"/>
      <c r="AA33" s="46">
        <v>10</v>
      </c>
      <c r="AB33" s="46"/>
      <c r="AC33" s="169">
        <v>20</v>
      </c>
      <c r="AD33" s="170">
        <v>1.2195121951219514</v>
      </c>
      <c r="AE33" s="170">
        <v>1.1</v>
      </c>
      <c r="AF33" s="171">
        <v>10</v>
      </c>
      <c r="AG33" s="170">
        <v>2.2</v>
      </c>
      <c r="AH33" s="117" t="s">
        <v>45</v>
      </c>
      <c r="AI33" s="117"/>
      <c r="AJ33" s="117"/>
      <c r="AK33" s="169">
        <v>6</v>
      </c>
    </row>
    <row r="34" spans="1:37" ht="21.75" customHeight="1">
      <c r="A34" s="61" t="s">
        <v>62</v>
      </c>
      <c r="B34" s="69">
        <v>29</v>
      </c>
      <c r="C34" s="69" t="s">
        <v>63</v>
      </c>
      <c r="D34" s="69" t="s">
        <v>70</v>
      </c>
      <c r="E34" s="65">
        <v>10.6</v>
      </c>
      <c r="F34" s="65">
        <v>6.75</v>
      </c>
      <c r="G34" s="66">
        <v>2.9</v>
      </c>
      <c r="H34" s="70">
        <v>71.55</v>
      </c>
      <c r="I34" s="61">
        <v>34.78</v>
      </c>
      <c r="J34" s="8">
        <f t="shared" si="6"/>
        <v>0.48609364081062195</v>
      </c>
      <c r="K34" s="61">
        <f t="shared" si="4"/>
        <v>34.78</v>
      </c>
      <c r="L34" s="61">
        <v>25</v>
      </c>
      <c r="M34" s="61">
        <v>15</v>
      </c>
      <c r="N34" s="61">
        <v>24</v>
      </c>
      <c r="O34" s="89">
        <v>16.4</v>
      </c>
      <c r="P34" s="87">
        <f t="shared" si="0"/>
        <v>229.2103424178896</v>
      </c>
      <c r="Q34" s="109"/>
      <c r="R34" s="123"/>
      <c r="S34" s="123"/>
      <c r="T34" s="124"/>
      <c r="U34" s="125"/>
      <c r="V34" s="125"/>
      <c r="W34" s="124"/>
      <c r="X34" s="119"/>
      <c r="Y34" s="139"/>
      <c r="Z34" s="151"/>
      <c r="AA34" s="46">
        <v>10</v>
      </c>
      <c r="AB34" s="46"/>
      <c r="AC34" s="169">
        <v>20</v>
      </c>
      <c r="AD34" s="170">
        <v>1.2195121951219514</v>
      </c>
      <c r="AE34" s="170">
        <v>1.1</v>
      </c>
      <c r="AF34" s="171">
        <v>10</v>
      </c>
      <c r="AG34" s="170">
        <v>2.2</v>
      </c>
      <c r="AH34" s="117" t="s">
        <v>45</v>
      </c>
      <c r="AI34" s="117"/>
      <c r="AJ34" s="117"/>
      <c r="AK34" s="169">
        <v>6</v>
      </c>
    </row>
    <row r="35" spans="1:37" ht="21.75" customHeight="1">
      <c r="A35" s="61" t="s">
        <v>62</v>
      </c>
      <c r="B35" s="69">
        <v>30</v>
      </c>
      <c r="C35" s="69" t="s">
        <v>63</v>
      </c>
      <c r="D35" s="69" t="s">
        <v>70</v>
      </c>
      <c r="E35" s="65">
        <v>10.6</v>
      </c>
      <c r="F35" s="65">
        <v>9.8</v>
      </c>
      <c r="G35" s="66">
        <v>2.9</v>
      </c>
      <c r="H35" s="70">
        <v>103.88</v>
      </c>
      <c r="I35" s="61">
        <v>52.16</v>
      </c>
      <c r="J35" s="8">
        <f t="shared" si="6"/>
        <v>0.5021178282633808</v>
      </c>
      <c r="K35" s="61">
        <f t="shared" si="4"/>
        <v>52.16</v>
      </c>
      <c r="L35" s="61">
        <v>25</v>
      </c>
      <c r="M35" s="61">
        <v>15</v>
      </c>
      <c r="N35" s="61">
        <v>24</v>
      </c>
      <c r="O35" s="89">
        <v>23.5</v>
      </c>
      <c r="P35" s="87">
        <f t="shared" si="0"/>
        <v>226.22256449749713</v>
      </c>
      <c r="Q35" s="109"/>
      <c r="R35" s="123"/>
      <c r="S35" s="123"/>
      <c r="T35" s="124"/>
      <c r="U35" s="125"/>
      <c r="V35" s="125"/>
      <c r="W35" s="124"/>
      <c r="X35" s="119"/>
      <c r="Y35" s="139"/>
      <c r="Z35" s="151"/>
      <c r="AA35" s="46">
        <v>10</v>
      </c>
      <c r="AB35" s="46"/>
      <c r="AC35" s="169">
        <v>30</v>
      </c>
      <c r="AD35" s="170">
        <v>1.2765957446808511</v>
      </c>
      <c r="AE35" s="170">
        <v>1.1</v>
      </c>
      <c r="AF35" s="171">
        <v>10</v>
      </c>
      <c r="AG35" s="170">
        <v>3.3</v>
      </c>
      <c r="AH35" s="117" t="s">
        <v>45</v>
      </c>
      <c r="AI35" s="117"/>
      <c r="AJ35" s="117"/>
      <c r="AK35" s="169">
        <v>9</v>
      </c>
    </row>
    <row r="36" spans="1:37" ht="21.75" customHeight="1">
      <c r="A36" s="61" t="s">
        <v>62</v>
      </c>
      <c r="B36" s="69">
        <v>31</v>
      </c>
      <c r="C36" s="69" t="s">
        <v>63</v>
      </c>
      <c r="D36" s="69" t="s">
        <v>70</v>
      </c>
      <c r="E36" s="65">
        <v>10.6</v>
      </c>
      <c r="F36" s="65">
        <v>9.8</v>
      </c>
      <c r="G36" s="66">
        <v>2.9</v>
      </c>
      <c r="H36" s="70">
        <v>103.88</v>
      </c>
      <c r="I36" s="61">
        <v>52.16</v>
      </c>
      <c r="J36" s="8">
        <f t="shared" si="6"/>
        <v>0.5021178282633808</v>
      </c>
      <c r="K36" s="61">
        <f t="shared" si="4"/>
        <v>52.16</v>
      </c>
      <c r="L36" s="61">
        <v>25</v>
      </c>
      <c r="M36" s="61">
        <v>15</v>
      </c>
      <c r="N36" s="61">
        <v>24</v>
      </c>
      <c r="O36" s="89">
        <v>23.5</v>
      </c>
      <c r="P36" s="87">
        <f aca="true" t="shared" si="7" ref="P36:P60">O36*1000/H36</f>
        <v>226.22256449749713</v>
      </c>
      <c r="Q36" s="109"/>
      <c r="R36" s="123"/>
      <c r="S36" s="123"/>
      <c r="T36" s="124"/>
      <c r="U36" s="125"/>
      <c r="V36" s="125"/>
      <c r="W36" s="124"/>
      <c r="X36" s="119"/>
      <c r="Y36" s="139"/>
      <c r="Z36" s="151"/>
      <c r="AA36" s="46">
        <v>10</v>
      </c>
      <c r="AB36" s="46"/>
      <c r="AC36" s="169">
        <v>30</v>
      </c>
      <c r="AD36" s="170">
        <v>1.2765957446808511</v>
      </c>
      <c r="AE36" s="170">
        <v>1.1</v>
      </c>
      <c r="AF36" s="171">
        <v>10</v>
      </c>
      <c r="AG36" s="170">
        <v>3.3</v>
      </c>
      <c r="AH36" s="117" t="s">
        <v>45</v>
      </c>
      <c r="AI36" s="117"/>
      <c r="AJ36" s="117"/>
      <c r="AK36" s="169">
        <v>9</v>
      </c>
    </row>
    <row r="37" spans="1:37" ht="21.75" customHeight="1">
      <c r="A37" s="61" t="s">
        <v>62</v>
      </c>
      <c r="B37" s="69">
        <v>32</v>
      </c>
      <c r="C37" s="69" t="s">
        <v>63</v>
      </c>
      <c r="D37" s="69" t="s">
        <v>70</v>
      </c>
      <c r="E37" s="65">
        <v>10.6</v>
      </c>
      <c r="F37" s="65">
        <v>10.15</v>
      </c>
      <c r="G37" s="66">
        <v>2.9</v>
      </c>
      <c r="H37" s="70">
        <v>107.56</v>
      </c>
      <c r="I37" s="61">
        <v>52.16</v>
      </c>
      <c r="J37" s="8">
        <f t="shared" si="6"/>
        <v>0.484938638899219</v>
      </c>
      <c r="K37" s="61">
        <f t="shared" si="4"/>
        <v>52.16</v>
      </c>
      <c r="L37" s="61">
        <v>25</v>
      </c>
      <c r="M37" s="61">
        <v>15</v>
      </c>
      <c r="N37" s="61">
        <v>24</v>
      </c>
      <c r="O37" s="89">
        <v>23.5</v>
      </c>
      <c r="P37" s="87">
        <f t="shared" si="7"/>
        <v>218.48270732614355</v>
      </c>
      <c r="Q37" s="110"/>
      <c r="R37" s="126"/>
      <c r="S37" s="126"/>
      <c r="T37" s="127"/>
      <c r="U37" s="128"/>
      <c r="V37" s="128"/>
      <c r="W37" s="127"/>
      <c r="X37" s="119"/>
      <c r="Y37" s="139"/>
      <c r="Z37" s="151"/>
      <c r="AA37" s="46">
        <v>10</v>
      </c>
      <c r="AB37" s="46"/>
      <c r="AC37" s="169">
        <v>30</v>
      </c>
      <c r="AD37" s="170">
        <v>1.2765957446808511</v>
      </c>
      <c r="AE37" s="170">
        <v>1.1</v>
      </c>
      <c r="AF37" s="171">
        <v>10</v>
      </c>
      <c r="AG37" s="170">
        <v>3.3</v>
      </c>
      <c r="AH37" s="117" t="s">
        <v>45</v>
      </c>
      <c r="AI37" s="117"/>
      <c r="AJ37" s="117"/>
      <c r="AK37" s="169">
        <v>9</v>
      </c>
    </row>
    <row r="38" spans="1:37" ht="21.75" customHeight="1">
      <c r="A38" s="71" t="s">
        <v>62</v>
      </c>
      <c r="B38" s="72" t="s">
        <v>72</v>
      </c>
      <c r="C38" s="72" t="s">
        <v>63</v>
      </c>
      <c r="D38" s="72" t="s">
        <v>70</v>
      </c>
      <c r="E38" s="73">
        <v>10.45</v>
      </c>
      <c r="F38" s="73">
        <v>9.9</v>
      </c>
      <c r="G38" s="74">
        <v>2.9</v>
      </c>
      <c r="H38" s="75">
        <f>E38*F38</f>
        <v>103.455</v>
      </c>
      <c r="I38" s="71">
        <v>52.16</v>
      </c>
      <c r="J38" s="91">
        <f t="shared" si="6"/>
        <v>0.5041805615968296</v>
      </c>
      <c r="K38" s="71">
        <f t="shared" si="4"/>
        <v>52.16</v>
      </c>
      <c r="L38" s="71">
        <v>25</v>
      </c>
      <c r="M38" s="71">
        <v>15</v>
      </c>
      <c r="N38" s="71">
        <v>24</v>
      </c>
      <c r="O38" s="88">
        <v>23.5</v>
      </c>
      <c r="P38" s="92">
        <f t="shared" si="7"/>
        <v>227.15190179305011</v>
      </c>
      <c r="Q38" s="129" t="s">
        <v>60</v>
      </c>
      <c r="R38" s="130" t="s">
        <v>73</v>
      </c>
      <c r="S38" s="130">
        <v>26.5</v>
      </c>
      <c r="T38" s="130">
        <v>5.55</v>
      </c>
      <c r="U38" s="131">
        <f aca="true" t="shared" si="8" ref="U38:U44">S38/T38</f>
        <v>4.774774774774775</v>
      </c>
      <c r="V38" s="131">
        <f aca="true" t="shared" si="9" ref="V38:V43">S38/O38</f>
        <v>1.127659574468085</v>
      </c>
      <c r="W38" s="130" t="s">
        <v>55</v>
      </c>
      <c r="X38" s="119"/>
      <c r="Y38" s="139"/>
      <c r="Z38" s="151"/>
      <c r="AA38" s="71">
        <v>10</v>
      </c>
      <c r="AB38" s="71"/>
      <c r="AC38" s="129">
        <v>30</v>
      </c>
      <c r="AD38" s="172">
        <v>1.2765957446808511</v>
      </c>
      <c r="AE38" s="172">
        <v>1.1</v>
      </c>
      <c r="AF38" s="173">
        <v>10</v>
      </c>
      <c r="AG38" s="172">
        <v>3.3</v>
      </c>
      <c r="AH38" s="131" t="s">
        <v>45</v>
      </c>
      <c r="AI38" s="117"/>
      <c r="AJ38" s="117"/>
      <c r="AK38" s="169">
        <v>9</v>
      </c>
    </row>
    <row r="39" spans="1:37" ht="21.75" customHeight="1">
      <c r="A39" s="71" t="s">
        <v>62</v>
      </c>
      <c r="B39" s="72" t="s">
        <v>74</v>
      </c>
      <c r="C39" s="72" t="s">
        <v>63</v>
      </c>
      <c r="D39" s="72" t="s">
        <v>70</v>
      </c>
      <c r="E39" s="73">
        <v>10.45</v>
      </c>
      <c r="F39" s="73">
        <v>9.95</v>
      </c>
      <c r="G39" s="74">
        <v>2.9</v>
      </c>
      <c r="H39" s="76">
        <v>103.98</v>
      </c>
      <c r="I39" s="71">
        <v>52.16</v>
      </c>
      <c r="J39" s="91">
        <f t="shared" si="6"/>
        <v>0.5016349297941911</v>
      </c>
      <c r="K39" s="71">
        <f t="shared" si="4"/>
        <v>52.16</v>
      </c>
      <c r="L39" s="71">
        <v>25</v>
      </c>
      <c r="M39" s="71">
        <v>15</v>
      </c>
      <c r="N39" s="71">
        <v>24</v>
      </c>
      <c r="O39" s="88">
        <v>23.5</v>
      </c>
      <c r="P39" s="92">
        <f t="shared" si="7"/>
        <v>226.0050009617234</v>
      </c>
      <c r="Q39" s="129" t="s">
        <v>60</v>
      </c>
      <c r="R39" s="130" t="s">
        <v>73</v>
      </c>
      <c r="S39" s="130">
        <v>26.5</v>
      </c>
      <c r="T39" s="130">
        <v>5.55</v>
      </c>
      <c r="U39" s="131">
        <f t="shared" si="8"/>
        <v>4.774774774774775</v>
      </c>
      <c r="V39" s="131">
        <f t="shared" si="9"/>
        <v>1.127659574468085</v>
      </c>
      <c r="W39" s="130" t="s">
        <v>55</v>
      </c>
      <c r="X39" s="119"/>
      <c r="Y39" s="139"/>
      <c r="Z39" s="151"/>
      <c r="AA39" s="71">
        <v>10</v>
      </c>
      <c r="AB39" s="71"/>
      <c r="AC39" s="129">
        <v>30</v>
      </c>
      <c r="AD39" s="172">
        <v>1.2765957446808511</v>
      </c>
      <c r="AE39" s="172">
        <v>1.1</v>
      </c>
      <c r="AF39" s="173">
        <v>10</v>
      </c>
      <c r="AG39" s="172">
        <v>3.3</v>
      </c>
      <c r="AH39" s="131" t="s">
        <v>45</v>
      </c>
      <c r="AI39" s="117"/>
      <c r="AJ39" s="117"/>
      <c r="AK39" s="169">
        <v>9</v>
      </c>
    </row>
    <row r="40" spans="1:37" ht="21.75" customHeight="1">
      <c r="A40" s="71" t="s">
        <v>62</v>
      </c>
      <c r="B40" s="72" t="s">
        <v>75</v>
      </c>
      <c r="C40" s="72" t="s">
        <v>63</v>
      </c>
      <c r="D40" s="72" t="s">
        <v>70</v>
      </c>
      <c r="E40" s="73">
        <v>10.45</v>
      </c>
      <c r="F40" s="73">
        <v>9.9</v>
      </c>
      <c r="G40" s="74">
        <v>2.9</v>
      </c>
      <c r="H40" s="76">
        <v>103.45</v>
      </c>
      <c r="I40" s="71">
        <v>52.16</v>
      </c>
      <c r="J40" s="91">
        <f t="shared" si="6"/>
        <v>0.5042049299178346</v>
      </c>
      <c r="K40" s="71">
        <f t="shared" si="4"/>
        <v>52.16</v>
      </c>
      <c r="L40" s="71">
        <v>25</v>
      </c>
      <c r="M40" s="71">
        <v>15</v>
      </c>
      <c r="N40" s="71">
        <v>24</v>
      </c>
      <c r="O40" s="88">
        <v>23.5</v>
      </c>
      <c r="P40" s="92">
        <f t="shared" si="7"/>
        <v>227.16288061865635</v>
      </c>
      <c r="Q40" s="129" t="s">
        <v>60</v>
      </c>
      <c r="R40" s="130" t="s">
        <v>73</v>
      </c>
      <c r="S40" s="130">
        <v>26.5</v>
      </c>
      <c r="T40" s="130">
        <v>5.55</v>
      </c>
      <c r="U40" s="131">
        <f t="shared" si="8"/>
        <v>4.774774774774775</v>
      </c>
      <c r="V40" s="131">
        <f t="shared" si="9"/>
        <v>1.127659574468085</v>
      </c>
      <c r="W40" s="130" t="s">
        <v>55</v>
      </c>
      <c r="X40" s="119"/>
      <c r="Y40" s="139"/>
      <c r="Z40" s="151"/>
      <c r="AA40" s="71">
        <v>10</v>
      </c>
      <c r="AB40" s="71"/>
      <c r="AC40" s="129">
        <v>30</v>
      </c>
      <c r="AD40" s="172">
        <v>1.2765957446808511</v>
      </c>
      <c r="AE40" s="172">
        <v>1.1</v>
      </c>
      <c r="AF40" s="173">
        <v>10</v>
      </c>
      <c r="AG40" s="172">
        <v>3.3</v>
      </c>
      <c r="AH40" s="131" t="s">
        <v>45</v>
      </c>
      <c r="AI40" s="117"/>
      <c r="AJ40" s="117"/>
      <c r="AK40" s="169">
        <v>9</v>
      </c>
    </row>
    <row r="41" spans="1:37" ht="21.75" customHeight="1">
      <c r="A41" s="71" t="s">
        <v>62</v>
      </c>
      <c r="B41" s="72" t="s">
        <v>76</v>
      </c>
      <c r="C41" s="72" t="s">
        <v>63</v>
      </c>
      <c r="D41" s="72" t="s">
        <v>70</v>
      </c>
      <c r="E41" s="73">
        <v>10.45</v>
      </c>
      <c r="F41" s="73">
        <v>9.95</v>
      </c>
      <c r="G41" s="74">
        <v>2.9</v>
      </c>
      <c r="H41" s="76">
        <v>103.98</v>
      </c>
      <c r="I41" s="71">
        <v>52.16</v>
      </c>
      <c r="J41" s="91">
        <f t="shared" si="6"/>
        <v>0.5016349297941911</v>
      </c>
      <c r="K41" s="71">
        <f t="shared" si="4"/>
        <v>52.16</v>
      </c>
      <c r="L41" s="71">
        <v>25</v>
      </c>
      <c r="M41" s="71">
        <v>15</v>
      </c>
      <c r="N41" s="71">
        <v>24</v>
      </c>
      <c r="O41" s="88">
        <v>23.5</v>
      </c>
      <c r="P41" s="92">
        <f t="shared" si="7"/>
        <v>226.0050009617234</v>
      </c>
      <c r="Q41" s="129" t="s">
        <v>60</v>
      </c>
      <c r="R41" s="130" t="s">
        <v>73</v>
      </c>
      <c r="S41" s="130">
        <v>26.5</v>
      </c>
      <c r="T41" s="130">
        <v>5.55</v>
      </c>
      <c r="U41" s="131">
        <f t="shared" si="8"/>
        <v>4.774774774774775</v>
      </c>
      <c r="V41" s="131">
        <f t="shared" si="9"/>
        <v>1.127659574468085</v>
      </c>
      <c r="W41" s="130" t="s">
        <v>55</v>
      </c>
      <c r="X41" s="119"/>
      <c r="Y41" s="139"/>
      <c r="Z41" s="151"/>
      <c r="AA41" s="71">
        <v>10</v>
      </c>
      <c r="AB41" s="71"/>
      <c r="AC41" s="129">
        <v>30</v>
      </c>
      <c r="AD41" s="172">
        <v>1.2765957446808511</v>
      </c>
      <c r="AE41" s="172">
        <v>1.1</v>
      </c>
      <c r="AF41" s="173">
        <v>10</v>
      </c>
      <c r="AG41" s="172">
        <v>3.3</v>
      </c>
      <c r="AH41" s="131" t="s">
        <v>45</v>
      </c>
      <c r="AI41" s="117"/>
      <c r="AJ41" s="117"/>
      <c r="AK41" s="169">
        <v>9</v>
      </c>
    </row>
    <row r="42" spans="1:37" ht="21.75" customHeight="1">
      <c r="A42" s="71" t="s">
        <v>62</v>
      </c>
      <c r="B42" s="72" t="s">
        <v>77</v>
      </c>
      <c r="C42" s="72" t="s">
        <v>63</v>
      </c>
      <c r="D42" s="72" t="s">
        <v>64</v>
      </c>
      <c r="E42" s="73">
        <v>10.45</v>
      </c>
      <c r="F42" s="73">
        <v>3.7</v>
      </c>
      <c r="G42" s="74">
        <v>2.9</v>
      </c>
      <c r="H42" s="76">
        <v>38.63</v>
      </c>
      <c r="I42" s="71">
        <v>17.39</v>
      </c>
      <c r="J42" s="91">
        <f t="shared" si="6"/>
        <v>0.4501682630080248</v>
      </c>
      <c r="K42" s="71">
        <f t="shared" si="4"/>
        <v>17.39</v>
      </c>
      <c r="L42" s="71">
        <v>25</v>
      </c>
      <c r="M42" s="71">
        <v>15</v>
      </c>
      <c r="N42" s="71">
        <v>24</v>
      </c>
      <c r="O42" s="88">
        <v>8.8</v>
      </c>
      <c r="P42" s="92">
        <f t="shared" si="7"/>
        <v>227.80222624902925</v>
      </c>
      <c r="Q42" s="129" t="s">
        <v>60</v>
      </c>
      <c r="R42" s="130" t="s">
        <v>69</v>
      </c>
      <c r="S42" s="130">
        <v>11.9</v>
      </c>
      <c r="T42" s="130">
        <v>2.64</v>
      </c>
      <c r="U42" s="131">
        <f t="shared" si="8"/>
        <v>4.507575757575758</v>
      </c>
      <c r="V42" s="131">
        <f t="shared" si="9"/>
        <v>1.3522727272727273</v>
      </c>
      <c r="W42" s="130" t="s">
        <v>55</v>
      </c>
      <c r="X42" s="119"/>
      <c r="Y42" s="139"/>
      <c r="Z42" s="151"/>
      <c r="AA42" s="71">
        <v>13</v>
      </c>
      <c r="AB42" s="71"/>
      <c r="AC42" s="129">
        <v>13</v>
      </c>
      <c r="AD42" s="172">
        <v>1.477272727272727</v>
      </c>
      <c r="AE42" s="172">
        <v>1.1</v>
      </c>
      <c r="AF42" s="173">
        <v>10</v>
      </c>
      <c r="AG42" s="172">
        <v>1.1</v>
      </c>
      <c r="AH42" s="131" t="s">
        <v>45</v>
      </c>
      <c r="AI42" s="117"/>
      <c r="AJ42" s="117"/>
      <c r="AK42" s="169">
        <v>3</v>
      </c>
    </row>
    <row r="43" spans="1:37" ht="21.75" customHeight="1">
      <c r="A43" s="71" t="s">
        <v>62</v>
      </c>
      <c r="B43" s="72" t="s">
        <v>78</v>
      </c>
      <c r="C43" s="72" t="s">
        <v>63</v>
      </c>
      <c r="D43" s="72" t="s">
        <v>64</v>
      </c>
      <c r="E43" s="73">
        <v>10.45</v>
      </c>
      <c r="F43" s="73">
        <v>3.7</v>
      </c>
      <c r="G43" s="74">
        <v>2.9</v>
      </c>
      <c r="H43" s="76">
        <v>38.66</v>
      </c>
      <c r="I43" s="71">
        <v>17.39</v>
      </c>
      <c r="J43" s="91">
        <f t="shared" si="6"/>
        <v>0.44981893429901715</v>
      </c>
      <c r="K43" s="71">
        <f t="shared" si="4"/>
        <v>17.39</v>
      </c>
      <c r="L43" s="71">
        <v>25</v>
      </c>
      <c r="M43" s="71">
        <v>15</v>
      </c>
      <c r="N43" s="71">
        <v>24</v>
      </c>
      <c r="O43" s="88">
        <v>8.8</v>
      </c>
      <c r="P43" s="92">
        <f t="shared" si="7"/>
        <v>227.62545266425246</v>
      </c>
      <c r="Q43" s="129" t="s">
        <v>60</v>
      </c>
      <c r="R43" s="130" t="s">
        <v>69</v>
      </c>
      <c r="S43" s="130">
        <v>11.9</v>
      </c>
      <c r="T43" s="130">
        <v>2.64</v>
      </c>
      <c r="U43" s="131">
        <f t="shared" si="8"/>
        <v>4.507575757575758</v>
      </c>
      <c r="V43" s="131">
        <f t="shared" si="9"/>
        <v>1.3522727272727273</v>
      </c>
      <c r="W43" s="130" t="s">
        <v>55</v>
      </c>
      <c r="X43" s="119"/>
      <c r="Y43" s="139"/>
      <c r="Z43" s="153"/>
      <c r="AA43" s="71">
        <v>13</v>
      </c>
      <c r="AB43" s="71"/>
      <c r="AC43" s="129">
        <v>13</v>
      </c>
      <c r="AD43" s="172">
        <v>1.477272727272727</v>
      </c>
      <c r="AE43" s="172">
        <v>1.1</v>
      </c>
      <c r="AF43" s="173">
        <v>10</v>
      </c>
      <c r="AG43" s="172">
        <v>1.1</v>
      </c>
      <c r="AH43" s="131" t="s">
        <v>45</v>
      </c>
      <c r="AI43" s="117"/>
      <c r="AJ43" s="117"/>
      <c r="AK43" s="169">
        <v>3</v>
      </c>
    </row>
    <row r="44" spans="1:37" ht="21.75" customHeight="1">
      <c r="A44" s="61" t="s">
        <v>62</v>
      </c>
      <c r="B44" s="61">
        <v>33</v>
      </c>
      <c r="C44" s="61" t="s">
        <v>79</v>
      </c>
      <c r="D44" s="77">
        <v>13</v>
      </c>
      <c r="E44" s="65">
        <v>22</v>
      </c>
      <c r="F44" s="65">
        <v>20.1</v>
      </c>
      <c r="G44" s="66">
        <v>2.9</v>
      </c>
      <c r="H44" s="67">
        <v>442</v>
      </c>
      <c r="I44" s="61">
        <v>223</v>
      </c>
      <c r="J44" s="8">
        <f t="shared" si="6"/>
        <v>0.504524886877828</v>
      </c>
      <c r="K44" s="61">
        <f>I44*0.1</f>
        <v>22.3</v>
      </c>
      <c r="L44" s="61">
        <v>25</v>
      </c>
      <c r="M44" s="61">
        <v>15</v>
      </c>
      <c r="N44" s="61">
        <v>24</v>
      </c>
      <c r="O44" s="89">
        <v>31</v>
      </c>
      <c r="P44" s="87">
        <f t="shared" si="7"/>
        <v>70.13574660633485</v>
      </c>
      <c r="Q44" s="132" t="s">
        <v>60</v>
      </c>
      <c r="R44" s="133" t="s">
        <v>80</v>
      </c>
      <c r="S44" s="133">
        <f>72.1*3</f>
        <v>216.29999999999998</v>
      </c>
      <c r="T44" s="134">
        <f>16.31*3</f>
        <v>48.92999999999999</v>
      </c>
      <c r="U44" s="135">
        <f t="shared" si="8"/>
        <v>4.420600858369099</v>
      </c>
      <c r="V44" s="135">
        <f>S44/(O44+O45+O46+O47+O48+O49+O50)</f>
        <v>1.2502890173410404</v>
      </c>
      <c r="W44" s="136" t="s">
        <v>55</v>
      </c>
      <c r="X44" s="119"/>
      <c r="Y44" s="139"/>
      <c r="Z44" s="169"/>
      <c r="AA44" s="169">
        <v>9.9</v>
      </c>
      <c r="AB44" s="169"/>
      <c r="AC44" s="112">
        <v>39.6</v>
      </c>
      <c r="AD44" s="166">
        <v>1.2774193548387098</v>
      </c>
      <c r="AE44" s="170">
        <v>0.27</v>
      </c>
      <c r="AF44" s="171">
        <v>13</v>
      </c>
      <c r="AG44" s="170">
        <v>1.08</v>
      </c>
      <c r="AH44" s="117" t="s">
        <v>45</v>
      </c>
      <c r="AI44" s="117"/>
      <c r="AJ44" s="117"/>
      <c r="AK44" s="169"/>
    </row>
    <row r="45" spans="1:37" ht="21.75" customHeight="1">
      <c r="A45" s="61" t="s">
        <v>62</v>
      </c>
      <c r="B45" s="69">
        <v>34</v>
      </c>
      <c r="C45" s="69" t="s">
        <v>81</v>
      </c>
      <c r="D45" s="69" t="s">
        <v>82</v>
      </c>
      <c r="E45" s="65">
        <v>15.7</v>
      </c>
      <c r="F45" s="65">
        <v>13.8</v>
      </c>
      <c r="G45" s="66">
        <v>2.9</v>
      </c>
      <c r="H45" s="70">
        <v>219.6</v>
      </c>
      <c r="I45" s="61"/>
      <c r="J45" s="8"/>
      <c r="K45" s="61">
        <v>5.5</v>
      </c>
      <c r="L45" s="61">
        <v>25</v>
      </c>
      <c r="M45" s="61">
        <v>20</v>
      </c>
      <c r="N45" s="61">
        <v>10</v>
      </c>
      <c r="O45" s="93">
        <v>15</v>
      </c>
      <c r="P45" s="87">
        <f t="shared" si="7"/>
        <v>68.30601092896175</v>
      </c>
      <c r="Q45" s="137"/>
      <c r="R45" s="138"/>
      <c r="S45" s="138"/>
      <c r="T45" s="139"/>
      <c r="U45" s="140"/>
      <c r="V45" s="140"/>
      <c r="W45" s="141"/>
      <c r="X45" s="119"/>
      <c r="Y45" s="139"/>
      <c r="Z45" s="169"/>
      <c r="AA45" s="169">
        <v>9.9</v>
      </c>
      <c r="AB45" s="169"/>
      <c r="AC45" s="112">
        <v>19.8</v>
      </c>
      <c r="AD45" s="166">
        <v>1.32</v>
      </c>
      <c r="AE45" s="170">
        <v>0.27</v>
      </c>
      <c r="AF45" s="171">
        <v>13</v>
      </c>
      <c r="AG45" s="170">
        <v>0.54</v>
      </c>
      <c r="AH45" s="117" t="s">
        <v>45</v>
      </c>
      <c r="AI45" s="117"/>
      <c r="AJ45" s="117"/>
      <c r="AK45" s="169"/>
    </row>
    <row r="46" spans="1:37" ht="21.75" customHeight="1">
      <c r="A46" s="61" t="s">
        <v>62</v>
      </c>
      <c r="B46" s="69">
        <v>35</v>
      </c>
      <c r="C46" s="69" t="s">
        <v>83</v>
      </c>
      <c r="D46" s="69" t="s">
        <v>82</v>
      </c>
      <c r="E46" s="65">
        <v>21.2</v>
      </c>
      <c r="F46" s="65">
        <v>5.2</v>
      </c>
      <c r="G46" s="66">
        <v>2.9</v>
      </c>
      <c r="H46" s="70">
        <v>110.3</v>
      </c>
      <c r="I46" s="61"/>
      <c r="J46" s="8"/>
      <c r="K46" s="61">
        <v>2.8</v>
      </c>
      <c r="L46" s="61">
        <v>20</v>
      </c>
      <c r="M46" s="61">
        <v>15</v>
      </c>
      <c r="N46" s="61">
        <v>10</v>
      </c>
      <c r="O46" s="93">
        <v>12</v>
      </c>
      <c r="P46" s="87">
        <f t="shared" si="7"/>
        <v>108.79419764279238</v>
      </c>
      <c r="Q46" s="137"/>
      <c r="R46" s="138"/>
      <c r="S46" s="138"/>
      <c r="T46" s="139"/>
      <c r="U46" s="140"/>
      <c r="V46" s="140"/>
      <c r="W46" s="141"/>
      <c r="X46" s="119"/>
      <c r="Y46" s="139"/>
      <c r="Z46" s="169"/>
      <c r="AA46" s="46">
        <v>15.8</v>
      </c>
      <c r="AB46" s="169"/>
      <c r="AC46" s="112">
        <v>15.8</v>
      </c>
      <c r="AD46" s="166">
        <v>1.3166666666666667</v>
      </c>
      <c r="AE46" s="170">
        <v>0.36</v>
      </c>
      <c r="AF46" s="171">
        <v>8</v>
      </c>
      <c r="AG46" s="170">
        <v>0.36</v>
      </c>
      <c r="AH46" s="117" t="s">
        <v>45</v>
      </c>
      <c r="AI46" s="117"/>
      <c r="AJ46" s="117"/>
      <c r="AK46" s="169"/>
    </row>
    <row r="47" spans="1:37" ht="21.75" customHeight="1">
      <c r="A47" s="61" t="s">
        <v>62</v>
      </c>
      <c r="B47" s="61">
        <v>36</v>
      </c>
      <c r="C47" s="61" t="s">
        <v>84</v>
      </c>
      <c r="D47" s="77">
        <v>13</v>
      </c>
      <c r="E47" s="65">
        <v>14.8</v>
      </c>
      <c r="F47" s="65">
        <v>19.9</v>
      </c>
      <c r="G47" s="66">
        <v>2.9</v>
      </c>
      <c r="H47" s="67">
        <v>295</v>
      </c>
      <c r="I47" s="61">
        <v>149</v>
      </c>
      <c r="J47" s="8">
        <f>I47/H47</f>
        <v>0.5050847457627119</v>
      </c>
      <c r="K47" s="61">
        <f>I47*0.1</f>
        <v>14.9</v>
      </c>
      <c r="L47" s="61">
        <v>25</v>
      </c>
      <c r="M47" s="61">
        <v>13</v>
      </c>
      <c r="N47" s="61">
        <v>24</v>
      </c>
      <c r="O47" s="89">
        <v>21</v>
      </c>
      <c r="P47" s="87">
        <f t="shared" si="7"/>
        <v>71.1864406779661</v>
      </c>
      <c r="Q47" s="137"/>
      <c r="R47" s="138"/>
      <c r="S47" s="138"/>
      <c r="T47" s="139"/>
      <c r="U47" s="140"/>
      <c r="V47" s="140"/>
      <c r="W47" s="141"/>
      <c r="X47" s="119"/>
      <c r="Y47" s="139"/>
      <c r="Z47" s="169"/>
      <c r="AA47" s="169">
        <v>9.9</v>
      </c>
      <c r="AB47" s="169"/>
      <c r="AC47" s="112">
        <v>29.700000000000003</v>
      </c>
      <c r="AD47" s="166">
        <v>1.4142857142857144</v>
      </c>
      <c r="AE47" s="170">
        <v>0.27</v>
      </c>
      <c r="AF47" s="171">
        <v>13</v>
      </c>
      <c r="AG47" s="170">
        <v>0.81</v>
      </c>
      <c r="AH47" s="117" t="s">
        <v>45</v>
      </c>
      <c r="AI47" s="117"/>
      <c r="AJ47" s="117"/>
      <c r="AK47" s="169"/>
    </row>
    <row r="48" spans="1:37" ht="21.75" customHeight="1">
      <c r="A48" s="61" t="s">
        <v>62</v>
      </c>
      <c r="B48" s="61">
        <v>37</v>
      </c>
      <c r="C48" s="61" t="s">
        <v>79</v>
      </c>
      <c r="D48" s="77">
        <v>13</v>
      </c>
      <c r="E48" s="65">
        <v>13.9</v>
      </c>
      <c r="F48" s="65">
        <v>17.34</v>
      </c>
      <c r="G48" s="66">
        <v>2.9</v>
      </c>
      <c r="H48" s="67">
        <v>241</v>
      </c>
      <c r="I48" s="61">
        <v>122</v>
      </c>
      <c r="J48" s="8">
        <f>I48/H48</f>
        <v>0.5062240663900415</v>
      </c>
      <c r="K48" s="61">
        <f>I48*0.1</f>
        <v>12.200000000000001</v>
      </c>
      <c r="L48" s="61">
        <v>25</v>
      </c>
      <c r="M48" s="61">
        <v>15</v>
      </c>
      <c r="N48" s="61">
        <v>24</v>
      </c>
      <c r="O48" s="89">
        <v>18</v>
      </c>
      <c r="P48" s="87">
        <f t="shared" si="7"/>
        <v>74.68879668049793</v>
      </c>
      <c r="Q48" s="137"/>
      <c r="R48" s="138"/>
      <c r="S48" s="138"/>
      <c r="T48" s="139"/>
      <c r="U48" s="140"/>
      <c r="V48" s="140"/>
      <c r="W48" s="141"/>
      <c r="X48" s="119"/>
      <c r="Y48" s="139"/>
      <c r="Z48" s="169"/>
      <c r="AA48" s="169">
        <v>12.2</v>
      </c>
      <c r="AB48" s="169"/>
      <c r="AC48" s="112">
        <v>24.4</v>
      </c>
      <c r="AD48" s="166">
        <v>1.3555555555555554</v>
      </c>
      <c r="AE48" s="170">
        <v>0.27</v>
      </c>
      <c r="AF48" s="171">
        <v>13</v>
      </c>
      <c r="AG48" s="170">
        <v>0.54</v>
      </c>
      <c r="AH48" s="117" t="s">
        <v>45</v>
      </c>
      <c r="AI48" s="117"/>
      <c r="AJ48" s="117"/>
      <c r="AK48" s="169"/>
    </row>
    <row r="49" spans="1:37" ht="21.75" customHeight="1">
      <c r="A49" s="71" t="s">
        <v>62</v>
      </c>
      <c r="B49" s="71" t="s">
        <v>85</v>
      </c>
      <c r="C49" s="71" t="s">
        <v>86</v>
      </c>
      <c r="D49" s="72" t="s">
        <v>82</v>
      </c>
      <c r="E49" s="73">
        <v>128.5</v>
      </c>
      <c r="F49" s="73">
        <v>4</v>
      </c>
      <c r="G49" s="74">
        <v>2.9</v>
      </c>
      <c r="H49" s="75">
        <v>514</v>
      </c>
      <c r="I49" s="77"/>
      <c r="J49" s="91"/>
      <c r="K49" s="71">
        <v>13</v>
      </c>
      <c r="L49" s="71">
        <v>25</v>
      </c>
      <c r="M49" s="71">
        <v>20</v>
      </c>
      <c r="N49" s="71">
        <v>0</v>
      </c>
      <c r="O49" s="88">
        <v>34</v>
      </c>
      <c r="P49" s="92">
        <f t="shared" si="7"/>
        <v>66.147859922179</v>
      </c>
      <c r="Q49" s="137"/>
      <c r="R49" s="138"/>
      <c r="S49" s="138"/>
      <c r="T49" s="139"/>
      <c r="U49" s="140"/>
      <c r="V49" s="140"/>
      <c r="W49" s="141"/>
      <c r="X49" s="119"/>
      <c r="Y49" s="139"/>
      <c r="Z49" s="129"/>
      <c r="AA49" s="71">
        <v>6.9</v>
      </c>
      <c r="AB49" s="129"/>
      <c r="AC49" s="129">
        <v>41.400000000000006</v>
      </c>
      <c r="AD49" s="172">
        <v>1.2176470588235295</v>
      </c>
      <c r="AE49" s="172">
        <v>0.28</v>
      </c>
      <c r="AF49" s="173">
        <v>7.5</v>
      </c>
      <c r="AG49" s="172">
        <v>1.6800000000000002</v>
      </c>
      <c r="AH49" s="131" t="s">
        <v>45</v>
      </c>
      <c r="AI49" s="184"/>
      <c r="AJ49" s="184"/>
      <c r="AK49" s="185"/>
    </row>
    <row r="50" spans="1:37" ht="21.75" customHeight="1">
      <c r="A50" s="61" t="s">
        <v>62</v>
      </c>
      <c r="B50" s="69">
        <v>38</v>
      </c>
      <c r="C50" s="69" t="s">
        <v>87</v>
      </c>
      <c r="D50" s="69" t="s">
        <v>82</v>
      </c>
      <c r="E50" s="65">
        <v>36.8</v>
      </c>
      <c r="F50" s="65">
        <v>19.8</v>
      </c>
      <c r="G50" s="66">
        <v>2.9</v>
      </c>
      <c r="H50" s="70">
        <v>729</v>
      </c>
      <c r="I50" s="61"/>
      <c r="J50" s="8"/>
      <c r="K50" s="61">
        <v>18</v>
      </c>
      <c r="L50" s="61">
        <v>25</v>
      </c>
      <c r="M50" s="61">
        <v>20</v>
      </c>
      <c r="N50" s="61">
        <v>10</v>
      </c>
      <c r="O50" s="93">
        <v>42</v>
      </c>
      <c r="P50" s="87">
        <f t="shared" si="7"/>
        <v>57.61316872427984</v>
      </c>
      <c r="Q50" s="142"/>
      <c r="R50" s="143"/>
      <c r="S50" s="143"/>
      <c r="T50" s="144"/>
      <c r="U50" s="145"/>
      <c r="V50" s="145"/>
      <c r="W50" s="146"/>
      <c r="X50" s="147"/>
      <c r="Y50" s="144"/>
      <c r="Z50" s="169"/>
      <c r="AA50" s="169">
        <v>18.5</v>
      </c>
      <c r="AB50" s="169"/>
      <c r="AC50" s="112">
        <v>55.5</v>
      </c>
      <c r="AD50" s="166">
        <v>1.3214285714285714</v>
      </c>
      <c r="AE50" s="170">
        <v>0.405</v>
      </c>
      <c r="AF50" s="171">
        <v>12</v>
      </c>
      <c r="AG50" s="170">
        <v>1.215</v>
      </c>
      <c r="AH50" s="117" t="s">
        <v>45</v>
      </c>
      <c r="AI50" s="183"/>
      <c r="AJ50" s="183"/>
      <c r="AK50" s="183"/>
    </row>
    <row r="51" spans="1:37" ht="21.75" customHeight="1">
      <c r="A51" s="61" t="s">
        <v>88</v>
      </c>
      <c r="B51" s="69">
        <v>39</v>
      </c>
      <c r="C51" s="69" t="s">
        <v>89</v>
      </c>
      <c r="D51" s="69" t="s">
        <v>90</v>
      </c>
      <c r="E51" s="65">
        <v>24.5</v>
      </c>
      <c r="F51" s="65">
        <v>8</v>
      </c>
      <c r="G51" s="65">
        <v>2.9</v>
      </c>
      <c r="H51" s="70">
        <f>E51*F51</f>
        <v>196</v>
      </c>
      <c r="I51" s="61">
        <v>99</v>
      </c>
      <c r="J51" s="8">
        <f>I51/H51</f>
        <v>0.5051020408163265</v>
      </c>
      <c r="K51" s="61">
        <f>I51*0.2</f>
        <v>19.8</v>
      </c>
      <c r="L51" s="61">
        <v>27</v>
      </c>
      <c r="M51" s="61">
        <v>5</v>
      </c>
      <c r="N51" s="61">
        <v>24</v>
      </c>
      <c r="O51" s="89">
        <v>43.6</v>
      </c>
      <c r="P51" s="87">
        <f t="shared" si="7"/>
        <v>222.44897959183675</v>
      </c>
      <c r="Q51" s="96" t="s">
        <v>53</v>
      </c>
      <c r="R51" s="108" t="s">
        <v>61</v>
      </c>
      <c r="S51" s="108">
        <f>30.1*3</f>
        <v>90.30000000000001</v>
      </c>
      <c r="T51" s="108">
        <f>10.34*3</f>
        <v>31.02</v>
      </c>
      <c r="U51" s="122">
        <f>S51/T51</f>
        <v>2.9110251450676987</v>
      </c>
      <c r="V51" s="122">
        <f>S51/(O51+O52)</f>
        <v>1.3068017366136038</v>
      </c>
      <c r="W51" s="148" t="s">
        <v>55</v>
      </c>
      <c r="X51" s="149" t="s">
        <v>91</v>
      </c>
      <c r="Y51" s="149">
        <f>1.5*2+7.5</f>
        <v>10.5</v>
      </c>
      <c r="Z51" s="46"/>
      <c r="AA51" s="46">
        <v>28.5</v>
      </c>
      <c r="AB51" s="46"/>
      <c r="AC51" s="46">
        <v>57</v>
      </c>
      <c r="AD51" s="174">
        <v>1.3073394495412844</v>
      </c>
      <c r="AE51" s="174">
        <v>1.64</v>
      </c>
      <c r="AF51" s="175">
        <v>22</v>
      </c>
      <c r="AG51" s="170">
        <v>3.28</v>
      </c>
      <c r="AH51" s="182" t="s">
        <v>58</v>
      </c>
      <c r="AI51" s="182">
        <v>9</v>
      </c>
      <c r="AJ51" s="182">
        <v>18</v>
      </c>
      <c r="AK51" s="169"/>
    </row>
    <row r="52" spans="1:37" ht="21.75" customHeight="1">
      <c r="A52" s="61" t="s">
        <v>88</v>
      </c>
      <c r="B52" s="69">
        <v>40</v>
      </c>
      <c r="C52" s="69" t="s">
        <v>92</v>
      </c>
      <c r="D52" s="189" t="s">
        <v>90</v>
      </c>
      <c r="E52" s="65">
        <v>39.8</v>
      </c>
      <c r="F52" s="65">
        <v>8</v>
      </c>
      <c r="G52" s="79">
        <v>2.9</v>
      </c>
      <c r="H52" s="70">
        <f>E52*F52</f>
        <v>318.4</v>
      </c>
      <c r="I52" s="61">
        <v>156</v>
      </c>
      <c r="J52" s="8">
        <f aca="true" t="shared" si="10" ref="J52:J60">I52/H52</f>
        <v>0.4899497487437186</v>
      </c>
      <c r="K52" s="61">
        <v>7.8</v>
      </c>
      <c r="L52" s="61">
        <v>5</v>
      </c>
      <c r="M52" s="61">
        <v>2</v>
      </c>
      <c r="N52" s="61">
        <v>24</v>
      </c>
      <c r="O52" s="89">
        <v>25.5</v>
      </c>
      <c r="P52" s="87">
        <f t="shared" si="7"/>
        <v>80.08793969849246</v>
      </c>
      <c r="Q52" s="104"/>
      <c r="R52" s="110"/>
      <c r="S52" s="110"/>
      <c r="T52" s="110"/>
      <c r="U52" s="128"/>
      <c r="V52" s="128"/>
      <c r="W52" s="150"/>
      <c r="X52" s="151"/>
      <c r="Y52" s="151"/>
      <c r="Z52" s="46"/>
      <c r="AA52" s="46">
        <v>15.3</v>
      </c>
      <c r="AB52" s="46"/>
      <c r="AC52" s="46">
        <v>30.6</v>
      </c>
      <c r="AD52" s="174">
        <v>1.2</v>
      </c>
      <c r="AE52" s="174">
        <v>0.54</v>
      </c>
      <c r="AF52" s="175">
        <v>14</v>
      </c>
      <c r="AG52" s="170">
        <v>1.08</v>
      </c>
      <c r="AH52" s="182" t="s">
        <v>58</v>
      </c>
      <c r="AI52" s="182">
        <v>7.5</v>
      </c>
      <c r="AJ52" s="182">
        <v>15</v>
      </c>
      <c r="AK52" s="169"/>
    </row>
    <row r="53" spans="1:37" ht="21.75" customHeight="1">
      <c r="A53" s="61" t="s">
        <v>88</v>
      </c>
      <c r="B53" s="69">
        <v>41</v>
      </c>
      <c r="C53" s="69" t="s">
        <v>93</v>
      </c>
      <c r="D53" s="189" t="s">
        <v>94</v>
      </c>
      <c r="E53" s="65">
        <v>10.9</v>
      </c>
      <c r="F53" s="65">
        <v>6.345</v>
      </c>
      <c r="G53" s="65">
        <v>2.8</v>
      </c>
      <c r="H53" s="70">
        <v>69</v>
      </c>
      <c r="I53" s="61">
        <v>30</v>
      </c>
      <c r="J53" s="8">
        <f t="shared" si="10"/>
        <v>0.43478260869565216</v>
      </c>
      <c r="K53" s="61">
        <v>3.5</v>
      </c>
      <c r="L53" s="61">
        <v>5</v>
      </c>
      <c r="M53" s="61">
        <v>-5</v>
      </c>
      <c r="N53" s="61">
        <v>24</v>
      </c>
      <c r="O53" s="89">
        <v>21</v>
      </c>
      <c r="P53" s="87">
        <f t="shared" si="7"/>
        <v>304.3478260869565</v>
      </c>
      <c r="Q53" s="190" t="s">
        <v>95</v>
      </c>
      <c r="R53" s="108" t="s">
        <v>96</v>
      </c>
      <c r="S53" s="108">
        <f>33.7*5</f>
        <v>168.5</v>
      </c>
      <c r="T53" s="149">
        <f>19.5*5</f>
        <v>97.5</v>
      </c>
      <c r="U53" s="122">
        <f>S53/T53</f>
        <v>1.7282051282051283</v>
      </c>
      <c r="V53" s="122">
        <f>S53/(O53+O54+O55+O56+O57+O58+O59+O60)</f>
        <v>1.1908127208480563</v>
      </c>
      <c r="W53" s="148" t="s">
        <v>55</v>
      </c>
      <c r="X53" s="151"/>
      <c r="Y53" s="151"/>
      <c r="Z53" s="46"/>
      <c r="AA53" s="46">
        <v>24.3</v>
      </c>
      <c r="AB53" s="46"/>
      <c r="AC53" s="46">
        <v>24.3</v>
      </c>
      <c r="AD53" s="174">
        <v>1.1571428571428573</v>
      </c>
      <c r="AE53" s="174">
        <v>2.46</v>
      </c>
      <c r="AF53" s="175">
        <v>23</v>
      </c>
      <c r="AG53" s="170">
        <v>2.46</v>
      </c>
      <c r="AH53" s="182" t="s">
        <v>58</v>
      </c>
      <c r="AI53" s="182">
        <v>12.9</v>
      </c>
      <c r="AJ53" s="182">
        <v>12.9</v>
      </c>
      <c r="AK53" s="169"/>
    </row>
    <row r="54" spans="1:37" ht="21.75" customHeight="1">
      <c r="A54" s="61" t="s">
        <v>88</v>
      </c>
      <c r="B54" s="69">
        <v>42</v>
      </c>
      <c r="C54" s="69" t="s">
        <v>97</v>
      </c>
      <c r="D54" s="189" t="s">
        <v>94</v>
      </c>
      <c r="E54" s="65">
        <v>13.84</v>
      </c>
      <c r="F54" s="65">
        <v>7.95</v>
      </c>
      <c r="G54" s="65">
        <v>2.8</v>
      </c>
      <c r="H54" s="70">
        <v>110</v>
      </c>
      <c r="I54" s="61">
        <v>52</v>
      </c>
      <c r="J54" s="8">
        <f t="shared" si="10"/>
        <v>0.4727272727272727</v>
      </c>
      <c r="K54" s="61">
        <v>5.2</v>
      </c>
      <c r="L54" s="61">
        <v>5</v>
      </c>
      <c r="M54" s="61">
        <v>-5</v>
      </c>
      <c r="N54" s="61">
        <v>24</v>
      </c>
      <c r="O54" s="89">
        <v>29.4</v>
      </c>
      <c r="P54" s="87">
        <f t="shared" si="7"/>
        <v>267.27272727272725</v>
      </c>
      <c r="Q54" s="109"/>
      <c r="R54" s="109"/>
      <c r="S54" s="109"/>
      <c r="T54" s="151"/>
      <c r="U54" s="125"/>
      <c r="V54" s="125"/>
      <c r="W54" s="152"/>
      <c r="X54" s="151"/>
      <c r="Y54" s="151"/>
      <c r="Z54" s="46"/>
      <c r="AA54" s="46">
        <v>33.7</v>
      </c>
      <c r="AB54" s="46"/>
      <c r="AC54" s="46">
        <v>33.7</v>
      </c>
      <c r="AD54" s="174">
        <v>1.1462585034013606</v>
      </c>
      <c r="AE54" s="174">
        <v>3.2</v>
      </c>
      <c r="AF54" s="175">
        <v>25</v>
      </c>
      <c r="AG54" s="170">
        <v>3.2</v>
      </c>
      <c r="AH54" s="182" t="s">
        <v>58</v>
      </c>
      <c r="AI54" s="182">
        <v>16.2</v>
      </c>
      <c r="AJ54" s="182">
        <v>16.2</v>
      </c>
      <c r="AK54" s="169"/>
    </row>
    <row r="55" spans="1:37" ht="21.75" customHeight="1">
      <c r="A55" s="61" t="s">
        <v>88</v>
      </c>
      <c r="B55" s="69">
        <v>43</v>
      </c>
      <c r="C55" s="69" t="s">
        <v>98</v>
      </c>
      <c r="D55" s="189" t="s">
        <v>94</v>
      </c>
      <c r="E55" s="65">
        <v>14.7</v>
      </c>
      <c r="F55" s="65">
        <v>9.85</v>
      </c>
      <c r="G55" s="65">
        <v>2.8</v>
      </c>
      <c r="H55" s="70">
        <f aca="true" t="shared" si="11" ref="H55:H60">E55*F55</f>
        <v>144.795</v>
      </c>
      <c r="I55" s="61">
        <v>65</v>
      </c>
      <c r="J55" s="8">
        <f t="shared" si="10"/>
        <v>0.44891052867847653</v>
      </c>
      <c r="K55" s="61">
        <v>6.5</v>
      </c>
      <c r="L55" s="61">
        <v>5</v>
      </c>
      <c r="M55" s="61">
        <v>-5</v>
      </c>
      <c r="N55" s="61">
        <v>24</v>
      </c>
      <c r="O55" s="89">
        <v>37.4</v>
      </c>
      <c r="P55" s="87">
        <f t="shared" si="7"/>
        <v>258.29621188576954</v>
      </c>
      <c r="Q55" s="109"/>
      <c r="R55" s="109"/>
      <c r="S55" s="109"/>
      <c r="T55" s="151"/>
      <c r="U55" s="125"/>
      <c r="V55" s="125"/>
      <c r="W55" s="152"/>
      <c r="X55" s="151"/>
      <c r="Y55" s="151"/>
      <c r="Z55" s="46"/>
      <c r="AA55" s="46">
        <v>21</v>
      </c>
      <c r="AB55" s="46"/>
      <c r="AC55" s="46">
        <v>42</v>
      </c>
      <c r="AD55" s="174">
        <v>1.1229946524064172</v>
      </c>
      <c r="AE55" s="174">
        <v>1.6</v>
      </c>
      <c r="AF55" s="175">
        <v>24</v>
      </c>
      <c r="AG55" s="170">
        <v>3.2</v>
      </c>
      <c r="AH55" s="182" t="s">
        <v>58</v>
      </c>
      <c r="AI55" s="182">
        <v>12.9</v>
      </c>
      <c r="AJ55" s="182">
        <v>25.8</v>
      </c>
      <c r="AK55" s="169"/>
    </row>
    <row r="56" spans="1:37" ht="21.75" customHeight="1">
      <c r="A56" s="61" t="s">
        <v>88</v>
      </c>
      <c r="B56" s="69">
        <v>44</v>
      </c>
      <c r="C56" s="69" t="s">
        <v>99</v>
      </c>
      <c r="D56" s="189" t="s">
        <v>94</v>
      </c>
      <c r="E56" s="65">
        <v>14.7</v>
      </c>
      <c r="F56" s="65">
        <v>9.85</v>
      </c>
      <c r="G56" s="80">
        <v>2.8</v>
      </c>
      <c r="H56" s="70">
        <f t="shared" si="11"/>
        <v>144.795</v>
      </c>
      <c r="I56" s="61">
        <v>71</v>
      </c>
      <c r="J56" s="8">
        <f t="shared" si="10"/>
        <v>0.4903484236334128</v>
      </c>
      <c r="K56" s="61">
        <v>7</v>
      </c>
      <c r="L56" s="61">
        <v>-10</v>
      </c>
      <c r="M56" s="61">
        <v>-18</v>
      </c>
      <c r="N56" s="61">
        <v>24</v>
      </c>
      <c r="O56" s="89">
        <v>8.9</v>
      </c>
      <c r="P56" s="87">
        <f t="shared" si="7"/>
        <v>61.46621084982217</v>
      </c>
      <c r="Q56" s="109"/>
      <c r="R56" s="109"/>
      <c r="S56" s="109"/>
      <c r="T56" s="151"/>
      <c r="U56" s="125"/>
      <c r="V56" s="125"/>
      <c r="W56" s="152"/>
      <c r="X56" s="151"/>
      <c r="Y56" s="151"/>
      <c r="Z56" s="46"/>
      <c r="AA56" s="46">
        <v>10.6</v>
      </c>
      <c r="AB56" s="46"/>
      <c r="AC56" s="46">
        <v>10.6</v>
      </c>
      <c r="AD56" s="174">
        <v>1.1910112359550562</v>
      </c>
      <c r="AE56" s="174">
        <v>0.54</v>
      </c>
      <c r="AF56" s="175">
        <v>13</v>
      </c>
      <c r="AG56" s="170">
        <v>0.54</v>
      </c>
      <c r="AH56" s="182" t="s">
        <v>58</v>
      </c>
      <c r="AI56" s="182">
        <v>7.5</v>
      </c>
      <c r="AJ56" s="182">
        <v>7.5</v>
      </c>
      <c r="AK56" s="169"/>
    </row>
    <row r="57" spans="1:37" ht="21.75" customHeight="1">
      <c r="A57" s="61" t="s">
        <v>88</v>
      </c>
      <c r="B57" s="69">
        <v>45</v>
      </c>
      <c r="C57" s="69" t="s">
        <v>100</v>
      </c>
      <c r="D57" s="189" t="s">
        <v>94</v>
      </c>
      <c r="E57" s="65">
        <v>14.7</v>
      </c>
      <c r="F57" s="65">
        <v>9.85</v>
      </c>
      <c r="G57" s="80">
        <v>2.8</v>
      </c>
      <c r="H57" s="70">
        <f t="shared" si="11"/>
        <v>144.795</v>
      </c>
      <c r="I57" s="61">
        <v>71</v>
      </c>
      <c r="J57" s="8">
        <f t="shared" si="10"/>
        <v>0.4903484236334128</v>
      </c>
      <c r="K57" s="61">
        <v>7</v>
      </c>
      <c r="L57" s="61">
        <v>-10</v>
      </c>
      <c r="M57" s="61">
        <v>-18</v>
      </c>
      <c r="N57" s="61">
        <v>24</v>
      </c>
      <c r="O57" s="89">
        <v>8.9</v>
      </c>
      <c r="P57" s="87">
        <f t="shared" si="7"/>
        <v>61.46621084982217</v>
      </c>
      <c r="Q57" s="109"/>
      <c r="R57" s="109"/>
      <c r="S57" s="109"/>
      <c r="T57" s="151"/>
      <c r="U57" s="125"/>
      <c r="V57" s="125"/>
      <c r="W57" s="152"/>
      <c r="X57" s="151"/>
      <c r="Y57" s="151"/>
      <c r="Z57" s="169"/>
      <c r="AA57" s="169">
        <v>10.6</v>
      </c>
      <c r="AB57" s="169"/>
      <c r="AC57" s="169">
        <v>10.6</v>
      </c>
      <c r="AD57" s="170">
        <v>1.1910112359550562</v>
      </c>
      <c r="AE57" s="170">
        <v>0.54</v>
      </c>
      <c r="AF57" s="171">
        <v>13</v>
      </c>
      <c r="AG57" s="170">
        <v>0.54</v>
      </c>
      <c r="AH57" s="182" t="s">
        <v>58</v>
      </c>
      <c r="AI57" s="182">
        <v>7.5</v>
      </c>
      <c r="AJ57" s="182">
        <v>7.5</v>
      </c>
      <c r="AK57" s="169"/>
    </row>
    <row r="58" spans="1:37" ht="21.75" customHeight="1">
      <c r="A58" s="61" t="s">
        <v>88</v>
      </c>
      <c r="B58" s="69">
        <v>46</v>
      </c>
      <c r="C58" s="69" t="s">
        <v>101</v>
      </c>
      <c r="D58" s="189" t="s">
        <v>94</v>
      </c>
      <c r="E58" s="65">
        <v>14.7</v>
      </c>
      <c r="F58" s="65">
        <v>20</v>
      </c>
      <c r="G58" s="80">
        <v>2.8</v>
      </c>
      <c r="H58" s="70">
        <f t="shared" si="11"/>
        <v>294</v>
      </c>
      <c r="I58" s="61">
        <v>143</v>
      </c>
      <c r="J58" s="8">
        <f t="shared" si="10"/>
        <v>0.48639455782312924</v>
      </c>
      <c r="K58" s="61">
        <v>14.3</v>
      </c>
      <c r="L58" s="61">
        <v>-10</v>
      </c>
      <c r="M58" s="61">
        <v>-18</v>
      </c>
      <c r="N58" s="61">
        <v>24</v>
      </c>
      <c r="O58" s="89">
        <v>17.2</v>
      </c>
      <c r="P58" s="87">
        <f t="shared" si="7"/>
        <v>58.50340136054422</v>
      </c>
      <c r="Q58" s="109"/>
      <c r="R58" s="109"/>
      <c r="S58" s="109"/>
      <c r="T58" s="151"/>
      <c r="U58" s="125"/>
      <c r="V58" s="125"/>
      <c r="W58" s="152"/>
      <c r="X58" s="151"/>
      <c r="Y58" s="151"/>
      <c r="Z58" s="169"/>
      <c r="AA58" s="169">
        <v>10.6</v>
      </c>
      <c r="AB58" s="169"/>
      <c r="AC58" s="169">
        <v>21.2</v>
      </c>
      <c r="AD58" s="170">
        <v>1.2325581395348837</v>
      </c>
      <c r="AE58" s="170">
        <v>0.54</v>
      </c>
      <c r="AF58" s="171">
        <v>13</v>
      </c>
      <c r="AG58" s="170">
        <v>1.08</v>
      </c>
      <c r="AH58" s="182" t="s">
        <v>58</v>
      </c>
      <c r="AI58" s="182">
        <v>7.5</v>
      </c>
      <c r="AJ58" s="182">
        <v>15</v>
      </c>
      <c r="AK58" s="169"/>
    </row>
    <row r="59" spans="1:37" ht="21.75" customHeight="1">
      <c r="A59" s="61" t="s">
        <v>88</v>
      </c>
      <c r="B59" s="69">
        <v>47</v>
      </c>
      <c r="C59" s="69" t="s">
        <v>102</v>
      </c>
      <c r="D59" s="189" t="s">
        <v>94</v>
      </c>
      <c r="E59" s="65">
        <v>14.35</v>
      </c>
      <c r="F59" s="65">
        <v>7.1</v>
      </c>
      <c r="G59" s="80">
        <v>2.8</v>
      </c>
      <c r="H59" s="70">
        <f t="shared" si="11"/>
        <v>101.88499999999999</v>
      </c>
      <c r="I59" s="61">
        <v>50</v>
      </c>
      <c r="J59" s="8">
        <f t="shared" si="10"/>
        <v>0.4907493742945478</v>
      </c>
      <c r="K59" s="61">
        <v>5</v>
      </c>
      <c r="L59" s="61">
        <v>-10</v>
      </c>
      <c r="M59" s="61">
        <v>-18</v>
      </c>
      <c r="N59" s="61">
        <v>24</v>
      </c>
      <c r="O59" s="89">
        <v>8.3</v>
      </c>
      <c r="P59" s="87">
        <f t="shared" si="7"/>
        <v>81.46439613289493</v>
      </c>
      <c r="Q59" s="109"/>
      <c r="R59" s="109"/>
      <c r="S59" s="109"/>
      <c r="T59" s="151"/>
      <c r="U59" s="125"/>
      <c r="V59" s="125"/>
      <c r="W59" s="152"/>
      <c r="X59" s="151"/>
      <c r="Y59" s="151"/>
      <c r="Z59" s="169"/>
      <c r="AA59" s="169">
        <v>10.6</v>
      </c>
      <c r="AB59" s="169"/>
      <c r="AC59" s="169">
        <v>10.6</v>
      </c>
      <c r="AD59" s="170">
        <v>1.2771084337349397</v>
      </c>
      <c r="AE59" s="170">
        <v>0.54</v>
      </c>
      <c r="AF59" s="171">
        <v>13</v>
      </c>
      <c r="AG59" s="170">
        <v>0.54</v>
      </c>
      <c r="AH59" s="182" t="s">
        <v>58</v>
      </c>
      <c r="AI59" s="182">
        <v>7.5</v>
      </c>
      <c r="AJ59" s="182">
        <v>7.5</v>
      </c>
      <c r="AK59" s="169"/>
    </row>
    <row r="60" spans="1:37" ht="51.75" customHeight="1">
      <c r="A60" s="61" t="s">
        <v>88</v>
      </c>
      <c r="B60" s="69">
        <v>48</v>
      </c>
      <c r="C60" s="69" t="s">
        <v>103</v>
      </c>
      <c r="D60" s="189" t="s">
        <v>94</v>
      </c>
      <c r="E60" s="65">
        <v>19.85</v>
      </c>
      <c r="F60" s="65">
        <v>7.1</v>
      </c>
      <c r="G60" s="80">
        <v>2.8</v>
      </c>
      <c r="H60" s="70">
        <f t="shared" si="11"/>
        <v>140.935</v>
      </c>
      <c r="I60" s="61">
        <v>69</v>
      </c>
      <c r="J60" s="8">
        <f t="shared" si="10"/>
        <v>0.48958739844609217</v>
      </c>
      <c r="K60" s="61">
        <v>6.9</v>
      </c>
      <c r="L60" s="61">
        <v>-10</v>
      </c>
      <c r="M60" s="61">
        <v>-18</v>
      </c>
      <c r="N60" s="61">
        <v>24</v>
      </c>
      <c r="O60" s="89">
        <v>10.4</v>
      </c>
      <c r="P60" s="87">
        <f t="shared" si="7"/>
        <v>73.79288324404867</v>
      </c>
      <c r="Q60" s="110"/>
      <c r="R60" s="110"/>
      <c r="S60" s="110"/>
      <c r="T60" s="153"/>
      <c r="U60" s="128"/>
      <c r="V60" s="128"/>
      <c r="W60" s="150"/>
      <c r="X60" s="153"/>
      <c r="Y60" s="153"/>
      <c r="Z60" s="169"/>
      <c r="AA60" s="169">
        <v>6.6</v>
      </c>
      <c r="AB60" s="169"/>
      <c r="AC60" s="169">
        <v>13.2</v>
      </c>
      <c r="AD60" s="170">
        <v>1.2692307692307692</v>
      </c>
      <c r="AE60" s="170">
        <v>0.36</v>
      </c>
      <c r="AF60" s="171">
        <v>12</v>
      </c>
      <c r="AG60" s="170">
        <v>0.72</v>
      </c>
      <c r="AH60" s="182" t="s">
        <v>58</v>
      </c>
      <c r="AI60" s="182">
        <v>5</v>
      </c>
      <c r="AJ60" s="182">
        <v>10</v>
      </c>
      <c r="AK60" s="169"/>
    </row>
    <row r="61" spans="3:37" ht="27.75" customHeight="1">
      <c r="C61" s="81"/>
      <c r="H61" s="53">
        <f>SUM(H4:H60)</f>
        <v>16425.68749999999</v>
      </c>
      <c r="Q61" s="154"/>
      <c r="T61" s="155">
        <f>SUM(T4:T60)</f>
        <v>636.0799999999999</v>
      </c>
      <c r="U61" s="156"/>
      <c r="V61" s="156"/>
      <c r="W61" s="81"/>
      <c r="X61" s="81"/>
      <c r="Y61" s="81">
        <f>SUM(Y4:Y60)</f>
        <v>68.5</v>
      </c>
      <c r="Z61" s="176"/>
      <c r="AA61" s="176"/>
      <c r="AB61" s="81"/>
      <c r="AC61" s="176"/>
      <c r="AD61" s="177"/>
      <c r="AE61" s="177"/>
      <c r="AF61" s="178"/>
      <c r="AG61" s="177">
        <v>117.44500000000004</v>
      </c>
      <c r="AH61" s="81"/>
      <c r="AI61" s="81"/>
      <c r="AJ61" s="186">
        <v>97.13333333333333</v>
      </c>
      <c r="AK61" s="176">
        <v>87</v>
      </c>
    </row>
    <row r="62" spans="9:20" ht="33" customHeight="1">
      <c r="I62" s="82"/>
      <c r="J62" s="82"/>
      <c r="K62" s="82"/>
      <c r="L62" s="82"/>
      <c r="M62" s="82"/>
      <c r="N62" s="82"/>
      <c r="O62" s="94"/>
      <c r="P62" s="81"/>
      <c r="Q62" s="154"/>
      <c r="T62" s="157">
        <f>T61+Y61+AG61+AJ61+AK61</f>
        <v>1006.1583333333333</v>
      </c>
    </row>
    <row r="63" spans="1:20" ht="19.5" customHeight="1">
      <c r="A63" t="s">
        <v>104</v>
      </c>
      <c r="B63" s="49"/>
      <c r="C63"/>
      <c r="D63" s="81"/>
      <c r="E63" s="8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95"/>
      <c r="Q63" s="158"/>
      <c r="R63" s="81"/>
      <c r="S63" s="81"/>
      <c r="T63" s="159"/>
    </row>
    <row r="64" spans="1:20" ht="15">
      <c r="A64" t="s">
        <v>105</v>
      </c>
      <c r="B64" s="49"/>
      <c r="C64"/>
      <c r="D64" s="81"/>
      <c r="E64" s="81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94"/>
      <c r="Q64" s="81"/>
      <c r="R64" s="81"/>
      <c r="S64" s="81"/>
      <c r="T64" s="81"/>
    </row>
    <row r="65" spans="1:17" ht="15">
      <c r="A65" s="187" t="s">
        <v>106</v>
      </c>
      <c r="Q65" s="154"/>
    </row>
    <row r="66" ht="15">
      <c r="Q66" s="154"/>
    </row>
    <row r="67" ht="15">
      <c r="Q67" s="154"/>
    </row>
    <row r="68" ht="15">
      <c r="Q68" s="154"/>
    </row>
    <row r="69" ht="15">
      <c r="Q69" s="154"/>
    </row>
    <row r="70" ht="15">
      <c r="Q70" s="154"/>
    </row>
    <row r="71" spans="1:2" ht="15">
      <c r="A71" s="44"/>
      <c r="B71" s="188"/>
    </row>
    <row r="72" spans="1:2" ht="15">
      <c r="A72" s="44"/>
      <c r="B72" s="188"/>
    </row>
    <row r="73" spans="1:2" ht="15">
      <c r="A73" s="44"/>
      <c r="B73" s="188"/>
    </row>
    <row r="74" spans="1:2" ht="15">
      <c r="A74" s="44"/>
      <c r="B74" s="188"/>
    </row>
    <row r="75" spans="1:2" ht="15">
      <c r="A75" s="44"/>
      <c r="B75" s="188"/>
    </row>
    <row r="76" spans="1:2" ht="15">
      <c r="A76" s="44"/>
      <c r="B76" s="188"/>
    </row>
    <row r="77" spans="1:2" ht="15">
      <c r="A77" s="44"/>
      <c r="B77" s="188"/>
    </row>
    <row r="78" spans="1:2" ht="15">
      <c r="A78" s="44"/>
      <c r="B78" s="188"/>
    </row>
    <row r="79" spans="1:2" ht="15">
      <c r="A79" s="44"/>
      <c r="B79" s="188"/>
    </row>
    <row r="80" spans="1:2" ht="15">
      <c r="A80" s="44"/>
      <c r="B80" s="188"/>
    </row>
    <row r="81" spans="1:2" ht="15">
      <c r="A81" s="44"/>
      <c r="B81" s="188"/>
    </row>
    <row r="82" spans="1:2" ht="15">
      <c r="A82" s="44"/>
      <c r="B82" s="188"/>
    </row>
    <row r="83" spans="1:2" ht="15">
      <c r="A83" s="44"/>
      <c r="B83" s="188"/>
    </row>
    <row r="84" spans="1:2" ht="15">
      <c r="A84" s="44"/>
      <c r="B84" s="188"/>
    </row>
    <row r="85" spans="1:2" ht="15">
      <c r="A85" s="44"/>
      <c r="B85" s="188"/>
    </row>
    <row r="86" spans="1:2" ht="15">
      <c r="A86" s="44"/>
      <c r="B86" s="188"/>
    </row>
    <row r="87" spans="1:2" ht="15">
      <c r="A87" s="44"/>
      <c r="B87" s="188"/>
    </row>
    <row r="88" spans="1:2" ht="15">
      <c r="A88" s="44"/>
      <c r="B88" s="188"/>
    </row>
    <row r="89" spans="1:2" ht="15">
      <c r="A89" s="44"/>
      <c r="B89" s="188"/>
    </row>
    <row r="90" spans="1:2" ht="15">
      <c r="A90" s="44"/>
      <c r="B90" s="188"/>
    </row>
    <row r="91" spans="1:2" ht="15">
      <c r="A91" s="44"/>
      <c r="B91" s="188"/>
    </row>
    <row r="92" spans="1:2" ht="15">
      <c r="A92" s="44"/>
      <c r="B92" s="188"/>
    </row>
    <row r="93" spans="1:2" ht="15">
      <c r="A93" s="44"/>
      <c r="B93" s="188"/>
    </row>
    <row r="94" spans="1:2" ht="15">
      <c r="A94" s="44"/>
      <c r="B94" s="188"/>
    </row>
    <row r="95" spans="1:2" ht="15">
      <c r="A95" s="44"/>
      <c r="B95" s="188"/>
    </row>
    <row r="96" spans="1:2" ht="15">
      <c r="A96" s="44"/>
      <c r="B96" s="188"/>
    </row>
    <row r="97" spans="1:2" ht="15">
      <c r="A97" s="44"/>
      <c r="B97" s="188"/>
    </row>
    <row r="98" spans="1:2" ht="15">
      <c r="A98" s="44"/>
      <c r="B98" s="188"/>
    </row>
    <row r="99" spans="1:2" ht="15">
      <c r="A99" s="44"/>
      <c r="B99" s="188"/>
    </row>
    <row r="100" spans="1:2" ht="15">
      <c r="A100" s="44"/>
      <c r="B100" s="188"/>
    </row>
    <row r="101" spans="1:2" ht="15">
      <c r="A101" s="44"/>
      <c r="B101" s="188"/>
    </row>
    <row r="102" spans="1:2" ht="15">
      <c r="A102" s="44"/>
      <c r="B102" s="188"/>
    </row>
    <row r="103" spans="1:2" ht="15">
      <c r="A103" s="44"/>
      <c r="B103" s="188"/>
    </row>
    <row r="104" spans="1:2" ht="15">
      <c r="A104" s="44"/>
      <c r="B104" s="188"/>
    </row>
    <row r="105" spans="1:2" ht="15">
      <c r="A105" s="44"/>
      <c r="B105" s="188"/>
    </row>
    <row r="106" spans="1:2" ht="15">
      <c r="A106" s="44"/>
      <c r="B106" s="188"/>
    </row>
    <row r="107" spans="1:2" ht="15">
      <c r="A107" s="44"/>
      <c r="B107" s="188"/>
    </row>
    <row r="108" spans="1:2" ht="15">
      <c r="A108" s="44"/>
      <c r="B108" s="188"/>
    </row>
    <row r="109" spans="1:2" ht="15">
      <c r="A109" s="44"/>
      <c r="B109" s="188"/>
    </row>
    <row r="110" spans="1:2" ht="15">
      <c r="A110" s="44"/>
      <c r="B110" s="188"/>
    </row>
    <row r="111" spans="1:2" ht="15">
      <c r="A111" s="44"/>
      <c r="B111" s="188"/>
    </row>
    <row r="112" spans="1:2" ht="15">
      <c r="A112" s="44"/>
      <c r="B112" s="188"/>
    </row>
    <row r="113" spans="1:2" ht="15">
      <c r="A113" s="44"/>
      <c r="B113" s="188"/>
    </row>
    <row r="114" spans="1:2" ht="15">
      <c r="A114" s="44"/>
      <c r="B114" s="188"/>
    </row>
    <row r="115" spans="1:2" ht="15">
      <c r="A115" s="44"/>
      <c r="B115" s="188"/>
    </row>
    <row r="116" spans="1:2" ht="15">
      <c r="A116" s="44"/>
      <c r="B116" s="188"/>
    </row>
    <row r="117" spans="1:2" ht="15">
      <c r="A117" s="44"/>
      <c r="B117" s="188"/>
    </row>
  </sheetData>
  <sheetProtection/>
  <mergeCells count="60">
    <mergeCell ref="A1:AK1"/>
    <mergeCell ref="A2:AK2"/>
    <mergeCell ref="Q4:Q8"/>
    <mergeCell ref="Q9:Q12"/>
    <mergeCell ref="Q14:Q17"/>
    <mergeCell ref="Q29:Q37"/>
    <mergeCell ref="Q44:Q50"/>
    <mergeCell ref="Q51:Q52"/>
    <mergeCell ref="Q53:Q60"/>
    <mergeCell ref="R4:R8"/>
    <mergeCell ref="R9:R12"/>
    <mergeCell ref="R14:R17"/>
    <mergeCell ref="R29:R37"/>
    <mergeCell ref="R44:R50"/>
    <mergeCell ref="R51:R52"/>
    <mergeCell ref="R53:R60"/>
    <mergeCell ref="S4:S8"/>
    <mergeCell ref="S9:S12"/>
    <mergeCell ref="S14:S17"/>
    <mergeCell ref="S29:S37"/>
    <mergeCell ref="S44:S50"/>
    <mergeCell ref="S51:S52"/>
    <mergeCell ref="S53:S60"/>
    <mergeCell ref="T4:T8"/>
    <mergeCell ref="T9:T12"/>
    <mergeCell ref="T14:T17"/>
    <mergeCell ref="T29:T37"/>
    <mergeCell ref="T44:T50"/>
    <mergeCell ref="T51:T52"/>
    <mergeCell ref="T53:T60"/>
    <mergeCell ref="U4:U8"/>
    <mergeCell ref="U9:U12"/>
    <mergeCell ref="U14:U17"/>
    <mergeCell ref="U29:U37"/>
    <mergeCell ref="U44:U50"/>
    <mergeCell ref="U51:U52"/>
    <mergeCell ref="U53:U60"/>
    <mergeCell ref="V4:V8"/>
    <mergeCell ref="V9:V12"/>
    <mergeCell ref="V14:V17"/>
    <mergeCell ref="V29:V37"/>
    <mergeCell ref="V44:V50"/>
    <mergeCell ref="V51:V52"/>
    <mergeCell ref="V53:V60"/>
    <mergeCell ref="W4:W8"/>
    <mergeCell ref="W9:W12"/>
    <mergeCell ref="W14:W17"/>
    <mergeCell ref="W29:W37"/>
    <mergeCell ref="W44:W50"/>
    <mergeCell ref="W51:W52"/>
    <mergeCell ref="W53:W60"/>
    <mergeCell ref="X4:X8"/>
    <mergeCell ref="X9:X17"/>
    <mergeCell ref="X18:X50"/>
    <mergeCell ref="X51:X60"/>
    <mergeCell ref="Y4:Y8"/>
    <mergeCell ref="Y9:Y17"/>
    <mergeCell ref="Y18:Y50"/>
    <mergeCell ref="Y51:Y60"/>
    <mergeCell ref="Z18:Z43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"/>
  <sheetViews>
    <sheetView zoomScale="75" zoomScaleNormal="75" zoomScaleSheetLayoutView="100" workbookViewId="0" topLeftCell="A1">
      <selection activeCell="T4" sqref="T4:T11"/>
    </sheetView>
  </sheetViews>
  <sheetFormatPr defaultColWidth="8.875" defaultRowHeight="14.25"/>
  <cols>
    <col min="1" max="1" width="6.00390625" style="0" customWidth="1"/>
    <col min="2" max="2" width="13.375" style="0" customWidth="1"/>
    <col min="3" max="3" width="10.50390625" style="0" customWidth="1"/>
    <col min="4" max="4" width="7.125" style="0" customWidth="1"/>
    <col min="5" max="5" width="8.50390625" style="0" customWidth="1"/>
    <col min="6" max="6" width="7.875" style="0" customWidth="1"/>
    <col min="7" max="7" width="8.375" style="0" customWidth="1"/>
    <col min="8" max="8" width="11.50390625" style="0" customWidth="1"/>
    <col min="9" max="9" width="12.375" style="0" customWidth="1"/>
    <col min="10" max="10" width="10.50390625" style="0" customWidth="1"/>
    <col min="17" max="17" width="7.375" style="0" customWidth="1"/>
    <col min="18" max="18" width="6.875" style="0" customWidth="1"/>
    <col min="19" max="19" width="6.50390625" style="0" customWidth="1"/>
    <col min="20" max="20" width="9.875" style="0" customWidth="1"/>
  </cols>
  <sheetData>
    <row r="1" spans="1:30" ht="33" customHeight="1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8">
      <c r="A3" s="5" t="s">
        <v>108</v>
      </c>
      <c r="B3" s="6" t="s">
        <v>109</v>
      </c>
      <c r="C3" s="5" t="s">
        <v>110</v>
      </c>
      <c r="D3" s="5" t="s">
        <v>111</v>
      </c>
      <c r="E3" s="5" t="s">
        <v>112</v>
      </c>
      <c r="F3" s="5" t="s">
        <v>113</v>
      </c>
      <c r="G3" s="5" t="s">
        <v>114</v>
      </c>
      <c r="H3" s="5" t="s">
        <v>115</v>
      </c>
      <c r="I3" s="5" t="s">
        <v>116</v>
      </c>
      <c r="J3" s="5" t="s">
        <v>117</v>
      </c>
      <c r="K3" s="8" t="s">
        <v>18</v>
      </c>
      <c r="L3" s="8" t="s">
        <v>19</v>
      </c>
      <c r="M3" s="8" t="s">
        <v>20</v>
      </c>
      <c r="N3" s="8" t="s">
        <v>21</v>
      </c>
      <c r="O3" s="9" t="s">
        <v>22</v>
      </c>
      <c r="P3" s="9" t="s">
        <v>23</v>
      </c>
      <c r="Q3" s="8" t="s">
        <v>24</v>
      </c>
      <c r="R3" s="8" t="s">
        <v>25</v>
      </c>
      <c r="S3" s="8" t="s">
        <v>26</v>
      </c>
      <c r="T3" s="8" t="s">
        <v>27</v>
      </c>
      <c r="U3" s="8" t="s">
        <v>28</v>
      </c>
      <c r="V3" s="8" t="s">
        <v>29</v>
      </c>
      <c r="W3" s="8" t="s">
        <v>30</v>
      </c>
      <c r="X3" s="27" t="s">
        <v>31</v>
      </c>
      <c r="Y3" s="27" t="s">
        <v>32</v>
      </c>
      <c r="Z3" s="27" t="s">
        <v>34</v>
      </c>
      <c r="AA3" s="8" t="s">
        <v>35</v>
      </c>
      <c r="AB3" s="27" t="s">
        <v>36</v>
      </c>
      <c r="AC3" s="27" t="s">
        <v>37</v>
      </c>
      <c r="AD3" s="46" t="s">
        <v>38</v>
      </c>
    </row>
    <row r="4" spans="1:30" ht="29.25" customHeight="1">
      <c r="A4" s="5">
        <v>1</v>
      </c>
      <c r="B4" s="6" t="s">
        <v>118</v>
      </c>
      <c r="C4" s="5">
        <v>3</v>
      </c>
      <c r="D4" s="5">
        <v>3</v>
      </c>
      <c r="E4" s="5">
        <v>2</v>
      </c>
      <c r="F4" s="5">
        <v>6</v>
      </c>
      <c r="G4" s="5">
        <v>2.7</v>
      </c>
      <c r="H4" s="5">
        <v>24</v>
      </c>
      <c r="I4" s="10">
        <v>1.45</v>
      </c>
      <c r="J4" s="11">
        <v>0.24166666666666667</v>
      </c>
      <c r="K4" s="191" t="s">
        <v>119</v>
      </c>
      <c r="L4" s="13" t="s">
        <v>120</v>
      </c>
      <c r="M4" s="14">
        <v>5.5</v>
      </c>
      <c r="N4" s="14">
        <v>2.69</v>
      </c>
      <c r="O4" s="15">
        <f>M4/N4</f>
        <v>2.0446096654275094</v>
      </c>
      <c r="P4" s="15">
        <f>M4/(I4+I5+I6)</f>
        <v>1.25</v>
      </c>
      <c r="Q4" s="28" t="s">
        <v>121</v>
      </c>
      <c r="R4" s="29"/>
      <c r="S4" s="30"/>
      <c r="T4" s="7"/>
      <c r="U4" s="5">
        <v>2</v>
      </c>
      <c r="V4" s="5">
        <v>1</v>
      </c>
      <c r="W4" s="5">
        <f aca="true" t="shared" si="0" ref="W4:W11">U4*V4</f>
        <v>2</v>
      </c>
      <c r="X4" s="31">
        <f aca="true" t="shared" si="1" ref="X4:X11">U4/I4</f>
        <v>1.3793103448275863</v>
      </c>
      <c r="Y4" s="5">
        <v>0.068</v>
      </c>
      <c r="Z4" s="5">
        <f aca="true" t="shared" si="2" ref="Z4:Z11">Y4*V4</f>
        <v>0.068</v>
      </c>
      <c r="AA4" s="7" t="s">
        <v>58</v>
      </c>
      <c r="AB4" s="5">
        <v>1.5</v>
      </c>
      <c r="AC4" s="5">
        <f>AB4*V4</f>
        <v>1.5</v>
      </c>
      <c r="AD4" s="6"/>
    </row>
    <row r="5" spans="1:30" ht="29.25" customHeight="1">
      <c r="A5" s="5">
        <v>7</v>
      </c>
      <c r="B5" s="6" t="s">
        <v>122</v>
      </c>
      <c r="C5" s="5">
        <v>5</v>
      </c>
      <c r="D5" s="5">
        <v>3</v>
      </c>
      <c r="E5" s="5">
        <v>2</v>
      </c>
      <c r="F5" s="5">
        <v>6</v>
      </c>
      <c r="G5" s="5">
        <v>2.7</v>
      </c>
      <c r="H5" s="5">
        <v>24</v>
      </c>
      <c r="I5" s="10">
        <v>1.36</v>
      </c>
      <c r="J5" s="11">
        <v>0.22666666666666668</v>
      </c>
      <c r="K5" s="16"/>
      <c r="L5" s="17"/>
      <c r="M5" s="18"/>
      <c r="N5" s="18"/>
      <c r="O5" s="19"/>
      <c r="P5" s="19"/>
      <c r="Q5" s="32"/>
      <c r="R5" s="33"/>
      <c r="S5" s="34"/>
      <c r="T5" s="7"/>
      <c r="U5" s="5">
        <v>2</v>
      </c>
      <c r="V5" s="5">
        <v>1</v>
      </c>
      <c r="W5" s="5">
        <f t="shared" si="0"/>
        <v>2</v>
      </c>
      <c r="X5" s="31">
        <f t="shared" si="1"/>
        <v>1.4705882352941175</v>
      </c>
      <c r="Y5" s="5">
        <v>0.068</v>
      </c>
      <c r="Z5" s="5">
        <f t="shared" si="2"/>
        <v>0.068</v>
      </c>
      <c r="AA5" s="7" t="s">
        <v>58</v>
      </c>
      <c r="AB5" s="5">
        <v>1.5</v>
      </c>
      <c r="AC5" s="5">
        <f>AB5*V5</f>
        <v>1.5</v>
      </c>
      <c r="AD5" s="6"/>
    </row>
    <row r="6" spans="1:30" ht="29.25" customHeight="1">
      <c r="A6" s="5">
        <v>8</v>
      </c>
      <c r="B6" s="6" t="s">
        <v>123</v>
      </c>
      <c r="C6" s="5">
        <v>0</v>
      </c>
      <c r="D6" s="5">
        <v>3</v>
      </c>
      <c r="E6" s="5">
        <v>2</v>
      </c>
      <c r="F6" s="5">
        <v>6</v>
      </c>
      <c r="G6" s="5">
        <v>2.7</v>
      </c>
      <c r="H6" s="5">
        <v>24</v>
      </c>
      <c r="I6" s="10">
        <v>1.59</v>
      </c>
      <c r="J6" s="11">
        <v>0.265</v>
      </c>
      <c r="K6" s="20"/>
      <c r="L6" s="21"/>
      <c r="M6" s="22"/>
      <c r="N6" s="22"/>
      <c r="O6" s="23"/>
      <c r="P6" s="23"/>
      <c r="Q6" s="35"/>
      <c r="R6" s="36"/>
      <c r="S6" s="37"/>
      <c r="T6" s="7"/>
      <c r="U6" s="5">
        <v>2</v>
      </c>
      <c r="V6" s="5">
        <v>1</v>
      </c>
      <c r="W6" s="5">
        <f t="shared" si="0"/>
        <v>2</v>
      </c>
      <c r="X6" s="31">
        <f t="shared" si="1"/>
        <v>1.2578616352201257</v>
      </c>
      <c r="Y6" s="5">
        <v>0.068</v>
      </c>
      <c r="Z6" s="5">
        <f t="shared" si="2"/>
        <v>0.068</v>
      </c>
      <c r="AA6" s="7" t="s">
        <v>58</v>
      </c>
      <c r="AB6" s="5">
        <v>1.5</v>
      </c>
      <c r="AC6" s="5">
        <f>AB6*V6</f>
        <v>1.5</v>
      </c>
      <c r="AD6" s="6"/>
    </row>
    <row r="7" spans="1:30" ht="29.25" customHeight="1">
      <c r="A7" s="5">
        <v>2</v>
      </c>
      <c r="B7" s="6" t="s">
        <v>124</v>
      </c>
      <c r="C7" s="5">
        <v>8</v>
      </c>
      <c r="D7" s="5">
        <v>3</v>
      </c>
      <c r="E7" s="5">
        <v>2</v>
      </c>
      <c r="F7" s="5">
        <v>6</v>
      </c>
      <c r="G7" s="5">
        <v>2.7</v>
      </c>
      <c r="H7" s="5">
        <v>24</v>
      </c>
      <c r="I7" s="10">
        <v>1.22</v>
      </c>
      <c r="J7" s="11">
        <v>0.20333333333333334</v>
      </c>
      <c r="K7" s="12" t="s">
        <v>125</v>
      </c>
      <c r="L7" s="13" t="s">
        <v>126</v>
      </c>
      <c r="M7" s="14">
        <v>3.76</v>
      </c>
      <c r="N7" s="14">
        <v>1.52</v>
      </c>
      <c r="O7" s="15">
        <f>M7/N7</f>
        <v>2.4736842105263155</v>
      </c>
      <c r="P7" s="15">
        <f>M7/(I7+I8)</f>
        <v>1.606837606837607</v>
      </c>
      <c r="Q7" s="28" t="s">
        <v>121</v>
      </c>
      <c r="R7" s="38"/>
      <c r="S7" s="39"/>
      <c r="T7" s="7"/>
      <c r="U7" s="5">
        <v>2.7</v>
      </c>
      <c r="V7" s="5">
        <v>1</v>
      </c>
      <c r="W7" s="5">
        <f t="shared" si="0"/>
        <v>2.7</v>
      </c>
      <c r="X7" s="31">
        <f t="shared" si="1"/>
        <v>2.2131147540983607</v>
      </c>
      <c r="Y7" s="5">
        <v>0.068</v>
      </c>
      <c r="Z7" s="5">
        <f t="shared" si="2"/>
        <v>0.068</v>
      </c>
      <c r="AA7" s="7" t="s">
        <v>45</v>
      </c>
      <c r="AB7" s="6"/>
      <c r="AC7" s="6"/>
      <c r="AD7" s="6"/>
    </row>
    <row r="8" spans="1:30" ht="29.25" customHeight="1">
      <c r="A8" s="5">
        <v>6</v>
      </c>
      <c r="B8" s="6" t="s">
        <v>127</v>
      </c>
      <c r="C8" s="5">
        <v>10</v>
      </c>
      <c r="D8" s="5">
        <v>3</v>
      </c>
      <c r="E8" s="5">
        <v>2</v>
      </c>
      <c r="F8" s="5">
        <v>6</v>
      </c>
      <c r="G8" s="5">
        <v>2.7</v>
      </c>
      <c r="H8" s="5">
        <v>24</v>
      </c>
      <c r="I8" s="10">
        <v>1.12</v>
      </c>
      <c r="J8" s="11">
        <v>0.18666666666666668</v>
      </c>
      <c r="K8" s="22"/>
      <c r="L8" s="24"/>
      <c r="M8" s="22"/>
      <c r="N8" s="22"/>
      <c r="O8" s="23"/>
      <c r="P8" s="23"/>
      <c r="Q8" s="40"/>
      <c r="R8" s="41"/>
      <c r="S8" s="42"/>
      <c r="T8" s="7"/>
      <c r="U8" s="5">
        <v>2.7</v>
      </c>
      <c r="V8" s="5">
        <v>1</v>
      </c>
      <c r="W8" s="5">
        <f t="shared" si="0"/>
        <v>2.7</v>
      </c>
      <c r="X8" s="31">
        <f t="shared" si="1"/>
        <v>2.4107142857142856</v>
      </c>
      <c r="Y8" s="5">
        <v>0.068</v>
      </c>
      <c r="Z8" s="5">
        <f t="shared" si="2"/>
        <v>0.068</v>
      </c>
      <c r="AA8" s="7" t="s">
        <v>45</v>
      </c>
      <c r="AB8" s="6"/>
      <c r="AC8" s="6"/>
      <c r="AD8" s="6"/>
    </row>
    <row r="9" spans="1:30" ht="29.25" customHeight="1">
      <c r="A9" s="5">
        <v>3</v>
      </c>
      <c r="B9" s="6" t="s">
        <v>128</v>
      </c>
      <c r="C9" s="5">
        <v>13</v>
      </c>
      <c r="D9" s="5">
        <v>3</v>
      </c>
      <c r="E9" s="5">
        <v>2</v>
      </c>
      <c r="F9" s="5">
        <v>6</v>
      </c>
      <c r="G9" s="5">
        <v>2.7</v>
      </c>
      <c r="H9" s="5">
        <v>24</v>
      </c>
      <c r="I9" s="10">
        <v>0.97</v>
      </c>
      <c r="J9" s="11">
        <v>0.16166666666666665</v>
      </c>
      <c r="K9" s="12" t="s">
        <v>129</v>
      </c>
      <c r="L9" s="13" t="s">
        <v>126</v>
      </c>
      <c r="M9" s="14">
        <v>4.4</v>
      </c>
      <c r="N9" s="15">
        <v>1.58</v>
      </c>
      <c r="O9" s="15">
        <f>M9/N9</f>
        <v>2.7848101265822787</v>
      </c>
      <c r="P9" s="15">
        <f>M9/(I9+I10+I11)</f>
        <v>1.4965986394557824</v>
      </c>
      <c r="Q9" s="28" t="s">
        <v>121</v>
      </c>
      <c r="R9" s="38"/>
      <c r="S9" s="39"/>
      <c r="T9" s="7"/>
      <c r="U9" s="5">
        <v>2.7</v>
      </c>
      <c r="V9" s="5">
        <v>1</v>
      </c>
      <c r="W9" s="5">
        <f t="shared" si="0"/>
        <v>2.7</v>
      </c>
      <c r="X9" s="31">
        <f t="shared" si="1"/>
        <v>2.7835051546391756</v>
      </c>
      <c r="Y9" s="5">
        <v>0.068</v>
      </c>
      <c r="Z9" s="5">
        <f t="shared" si="2"/>
        <v>0.068</v>
      </c>
      <c r="AA9" s="7" t="s">
        <v>45</v>
      </c>
      <c r="AB9" s="6"/>
      <c r="AC9" s="6"/>
      <c r="AD9" s="6"/>
    </row>
    <row r="10" spans="1:30" ht="29.25" customHeight="1">
      <c r="A10" s="5">
        <v>4</v>
      </c>
      <c r="B10" s="6" t="s">
        <v>130</v>
      </c>
      <c r="C10" s="5">
        <v>18</v>
      </c>
      <c r="D10" s="5">
        <v>3</v>
      </c>
      <c r="E10" s="5">
        <v>4.7</v>
      </c>
      <c r="F10" s="5">
        <v>14.100000000000001</v>
      </c>
      <c r="G10" s="5">
        <v>2.7</v>
      </c>
      <c r="H10" s="5">
        <v>24</v>
      </c>
      <c r="I10" s="10">
        <v>1.07</v>
      </c>
      <c r="J10" s="11">
        <v>0.07588652482269503</v>
      </c>
      <c r="K10" s="18"/>
      <c r="L10" s="25"/>
      <c r="M10" s="18"/>
      <c r="N10" s="19"/>
      <c r="O10" s="19"/>
      <c r="P10" s="19"/>
      <c r="Q10" s="43"/>
      <c r="R10" s="44"/>
      <c r="S10" s="45"/>
      <c r="T10" s="7"/>
      <c r="U10" s="5">
        <v>2.7</v>
      </c>
      <c r="V10" s="5">
        <v>1</v>
      </c>
      <c r="W10" s="5">
        <f t="shared" si="0"/>
        <v>2.7</v>
      </c>
      <c r="X10" s="31">
        <f t="shared" si="1"/>
        <v>2.5233644859813085</v>
      </c>
      <c r="Y10" s="5">
        <v>0.068</v>
      </c>
      <c r="Z10" s="5">
        <f t="shared" si="2"/>
        <v>0.068</v>
      </c>
      <c r="AA10" s="7" t="s">
        <v>45</v>
      </c>
      <c r="AB10" s="6"/>
      <c r="AC10" s="6"/>
      <c r="AD10" s="6"/>
    </row>
    <row r="11" spans="1:30" ht="29.25" customHeight="1">
      <c r="A11" s="5">
        <v>5</v>
      </c>
      <c r="B11" s="6" t="s">
        <v>131</v>
      </c>
      <c r="C11" s="5">
        <v>15</v>
      </c>
      <c r="D11" s="5">
        <v>3</v>
      </c>
      <c r="E11" s="5">
        <v>2</v>
      </c>
      <c r="F11" s="5">
        <v>6</v>
      </c>
      <c r="G11" s="5">
        <v>2.7</v>
      </c>
      <c r="H11" s="5">
        <v>24</v>
      </c>
      <c r="I11" s="10">
        <v>0.9</v>
      </c>
      <c r="J11" s="11">
        <v>0.15</v>
      </c>
      <c r="K11" s="22"/>
      <c r="L11" s="24"/>
      <c r="M11" s="22"/>
      <c r="N11" s="23"/>
      <c r="O11" s="23"/>
      <c r="P11" s="23"/>
      <c r="Q11" s="40"/>
      <c r="R11" s="41"/>
      <c r="S11" s="42"/>
      <c r="T11" s="7"/>
      <c r="U11" s="5">
        <v>2.7</v>
      </c>
      <c r="V11" s="5">
        <v>1</v>
      </c>
      <c r="W11" s="5">
        <f t="shared" si="0"/>
        <v>2.7</v>
      </c>
      <c r="X11" s="31">
        <f t="shared" si="1"/>
        <v>3</v>
      </c>
      <c r="Y11" s="5">
        <v>0.068</v>
      </c>
      <c r="Z11" s="5">
        <f t="shared" si="2"/>
        <v>0.068</v>
      </c>
      <c r="AA11" s="7" t="s">
        <v>45</v>
      </c>
      <c r="AB11" s="6"/>
      <c r="AC11" s="6"/>
      <c r="AD11" s="6"/>
    </row>
    <row r="12" spans="1:30" ht="29.25" customHeight="1">
      <c r="A12" s="5" t="s">
        <v>132</v>
      </c>
      <c r="B12" s="7" t="s">
        <v>133</v>
      </c>
      <c r="C12" s="6"/>
      <c r="D12" s="6"/>
      <c r="E12" s="6"/>
      <c r="F12" s="6"/>
      <c r="G12" s="6"/>
      <c r="H12" s="6"/>
      <c r="I12" s="6"/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</sheetData>
  <sheetProtection/>
  <mergeCells count="22">
    <mergeCell ref="K4:K6"/>
    <mergeCell ref="K7:K8"/>
    <mergeCell ref="K9:K11"/>
    <mergeCell ref="L4:L6"/>
    <mergeCell ref="L7:L8"/>
    <mergeCell ref="L9:L11"/>
    <mergeCell ref="M4:M6"/>
    <mergeCell ref="M7:M8"/>
    <mergeCell ref="M9:M11"/>
    <mergeCell ref="N4:N6"/>
    <mergeCell ref="N7:N8"/>
    <mergeCell ref="N9:N11"/>
    <mergeCell ref="O4:O6"/>
    <mergeCell ref="O7:O8"/>
    <mergeCell ref="O9:O11"/>
    <mergeCell ref="P4:P6"/>
    <mergeCell ref="P7:P8"/>
    <mergeCell ref="P9:P11"/>
    <mergeCell ref="A1:AD2"/>
    <mergeCell ref="Q7:S8"/>
    <mergeCell ref="Q4:S6"/>
    <mergeCell ref="Q9:S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廖勇佳-深-工程</cp:lastModifiedBy>
  <dcterms:created xsi:type="dcterms:W3CDTF">2019-08-20T11:25:51Z</dcterms:created>
  <dcterms:modified xsi:type="dcterms:W3CDTF">2020-08-22T06:36:42Z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